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https://rempec.sharepoint.com/sites/instit/REMPEC/Strategy/Post-2021 Strategy/Coordination meetings/1st meeting-29Nov-1Dec 2022/Docs/Draft/52.INF.4-Compilation/"/>
    </mc:Choice>
  </mc:AlternateContent>
  <xr:revisionPtr revIDLastSave="0" documentId="13_ncr:1_{B24D4153-7572-42F0-B912-6221B4888953}" xr6:coauthVersionLast="47" xr6:coauthVersionMax="47" xr10:uidLastSave="{00000000-0000-0000-0000-000000000000}"/>
  <bookViews>
    <workbookView xWindow="-120" yWindow="-120" windowWidth="29040" windowHeight="15840" xr2:uid="{F6D83635-90DC-4C14-BAB0-334B88B16675}"/>
  </bookViews>
  <sheets>
    <sheet name="All Overview" sheetId="31" r:id="rId1"/>
    <sheet name="Graphs" sheetId="44" state="hidden" r:id="rId2"/>
    <sheet name="CP Response Overview" sheetId="13" r:id="rId3"/>
    <sheet name="Stakeholder Response Overview" sheetId="46" r:id="rId4"/>
    <sheet name="first" sheetId="32" state="hidden" r:id="rId5"/>
    <sheet name="1 UfM" sheetId="21" r:id="rId6"/>
    <sheet name="2 OSRL" sheetId="25" r:id="rId7"/>
    <sheet name="3 Federchimica" sheetId="24" r:id="rId8"/>
    <sheet name="4 IOI" sheetId="23" r:id="rId9"/>
    <sheet name="5 CEDRE" sheetId="22" r:id="rId10"/>
    <sheet name="6 PAM" sheetId="26" r:id="rId11"/>
    <sheet name="7 CLIA" sheetId="20" r:id="rId12"/>
    <sheet name="8 IPIECA" sheetId="19" r:id="rId13"/>
    <sheet name="9 Med Cruise" sheetId="18" r:id="rId14"/>
    <sheet name="10 REMPEC" sheetId="34" r:id="rId15"/>
    <sheet name="11 EMSA" sheetId="35" r:id="rId16"/>
    <sheet name="12 West Med" sheetId="27" r:id="rId17"/>
    <sheet name="13 OC" sheetId="28" r:id="rId18"/>
    <sheet name="14 Sea Alarm" sheetId="29" r:id="rId19"/>
    <sheet name="15 ITOPF" sheetId="30" r:id="rId20"/>
    <sheet name="Last" sheetId="33" state="hidden" r:id="rId21"/>
    <sheet name="ALBANIA" sheetId="36" r:id="rId22"/>
    <sheet name="BandH" sheetId="37" r:id="rId23"/>
    <sheet name="ISRAEL" sheetId="40" r:id="rId24"/>
    <sheet name="MONTENEGRO" sheetId="41" r:id="rId25"/>
    <sheet name="TUNISIA" sheetId="42" r:id="rId26"/>
    <sheet name="Türkiye" sheetId="45" r:id="rId27"/>
    <sheet name="end" sheetId="39" state="hidden" r:id="rId28"/>
    <sheet name="Input sheet to hide " sheetId="12" state="hidden" r:id="rId29"/>
  </sheets>
  <definedNames>
    <definedName name="_xlnm._FilterDatabase" localSheetId="5" hidden="1">'1 UfM'!$A$1:$AY$432</definedName>
    <definedName name="_xlnm._FilterDatabase" localSheetId="14" hidden="1">'10 REMPEC'!$A$1:$AY$432</definedName>
    <definedName name="_xlnm._FilterDatabase" localSheetId="15" hidden="1">'11 EMSA'!$A$1:$AY$432</definedName>
    <definedName name="_xlnm._FilterDatabase" localSheetId="16" hidden="1">'12 West Med'!$A$1:$AY$432</definedName>
    <definedName name="_xlnm._FilterDatabase" localSheetId="17" hidden="1">'13 OC'!$A$1:$AY$432</definedName>
    <definedName name="_xlnm._FilterDatabase" localSheetId="18" hidden="1">'14 Sea Alarm'!$A$1:$AY$432</definedName>
    <definedName name="_xlnm._FilterDatabase" localSheetId="19" hidden="1">'15 ITOPF'!$A$1:$AY$432</definedName>
    <definedName name="_xlnm._FilterDatabase" localSheetId="6" hidden="1">'2 OSRL'!$A$1:$AY$432</definedName>
    <definedName name="_xlnm._FilterDatabase" localSheetId="7" hidden="1">'3 Federchimica'!$A$1:$AY$432</definedName>
    <definedName name="_xlnm._FilterDatabase" localSheetId="8" hidden="1">'4 IOI'!$A$1:$AY$432</definedName>
    <definedName name="_xlnm._FilterDatabase" localSheetId="9" hidden="1">'5 CEDRE'!$A$1:$AY$432</definedName>
    <definedName name="_xlnm._FilterDatabase" localSheetId="10" hidden="1">'6 PAM'!$A$1:$AY$432</definedName>
    <definedName name="_xlnm._FilterDatabase" localSheetId="11" hidden="1">'7 CLIA'!$A$1:$AY$432</definedName>
    <definedName name="_xlnm._FilterDatabase" localSheetId="12" hidden="1">'8 IPIECA'!$A$1:$AY$432</definedName>
    <definedName name="_xlnm._FilterDatabase" localSheetId="13" hidden="1">'9 Med Cruise'!$A$1:$AY$432</definedName>
    <definedName name="_xlnm._FilterDatabase" localSheetId="21" hidden="1">ALBANIA!$A$1:$O$432</definedName>
    <definedName name="_xlnm._FilterDatabase" localSheetId="0" hidden="1">'All Overview'!$A$1:$AX$432</definedName>
    <definedName name="_xlnm._FilterDatabase" localSheetId="22" hidden="1">BandH!$A$1:$O$432</definedName>
    <definedName name="_xlnm._FilterDatabase" localSheetId="23" hidden="1">ISRAEL!$A$1:$O$432</definedName>
    <definedName name="_xlnm._FilterDatabase" localSheetId="24" hidden="1">MONTENEGRO!$A$1:$O$432</definedName>
    <definedName name="_xlnm._FilterDatabase" localSheetId="25" hidden="1">TUNISIA!$A$1:$O$432</definedName>
    <definedName name="_xlnm._FilterDatabase" localSheetId="26" hidden="1">Türkiye!$A$1:$O$432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G6" i="46" l="1"/>
  <c r="K20" i="46" s="1"/>
  <c r="DH6" i="46"/>
  <c r="N3" i="44"/>
  <c r="N4" i="44"/>
  <c r="N5" i="44"/>
  <c r="N6" i="44"/>
  <c r="N7" i="44"/>
  <c r="N8" i="44"/>
  <c r="N9" i="44"/>
  <c r="N2" i="44"/>
  <c r="J18" i="13"/>
  <c r="J19" i="13"/>
  <c r="J20" i="13"/>
  <c r="J21" i="13"/>
  <c r="J22" i="13"/>
  <c r="J23" i="13"/>
  <c r="J24" i="13"/>
  <c r="J17" i="13"/>
  <c r="I16" i="13"/>
  <c r="I18" i="13"/>
  <c r="I19" i="13"/>
  <c r="I20" i="13"/>
  <c r="I21" i="13"/>
  <c r="I22" i="13"/>
  <c r="I23" i="13"/>
  <c r="I24" i="13"/>
  <c r="I17" i="13"/>
  <c r="H9" i="46"/>
  <c r="G9" i="46"/>
  <c r="C36" i="13"/>
  <c r="D36" i="13"/>
  <c r="E36" i="13"/>
  <c r="B36" i="13"/>
  <c r="C35" i="13"/>
  <c r="D35" i="13"/>
  <c r="E35" i="13"/>
  <c r="B35" i="13"/>
  <c r="C34" i="13"/>
  <c r="D34" i="13"/>
  <c r="E34" i="13"/>
  <c r="C33" i="13"/>
  <c r="D33" i="13"/>
  <c r="E33" i="13"/>
  <c r="B33" i="13"/>
  <c r="B34" i="13"/>
  <c r="C32" i="13"/>
  <c r="D32" i="13"/>
  <c r="E32" i="13"/>
  <c r="B32" i="13"/>
  <c r="C31" i="13"/>
  <c r="D31" i="13"/>
  <c r="E31" i="13"/>
  <c r="B31" i="13"/>
  <c r="C30" i="13"/>
  <c r="D30" i="13"/>
  <c r="E30" i="13"/>
  <c r="B30" i="13"/>
  <c r="B29" i="13"/>
  <c r="C29" i="13"/>
  <c r="D29" i="13"/>
  <c r="E29" i="13"/>
  <c r="U13" i="13"/>
  <c r="T13" i="13"/>
  <c r="S13" i="13"/>
  <c r="R13" i="13"/>
  <c r="Q13" i="13"/>
  <c r="P13" i="13"/>
  <c r="C24" i="13" s="1"/>
  <c r="O13" i="13"/>
  <c r="N13" i="13"/>
  <c r="AF13" i="13"/>
  <c r="AE13" i="13"/>
  <c r="AD13" i="13"/>
  <c r="AC13" i="13"/>
  <c r="AB13" i="13"/>
  <c r="AA13" i="13"/>
  <c r="D24" i="13" s="1"/>
  <c r="Z13" i="13"/>
  <c r="Y13" i="13"/>
  <c r="AQ13" i="13"/>
  <c r="AP13" i="13"/>
  <c r="AO13" i="13"/>
  <c r="AN13" i="13"/>
  <c r="AM13" i="13"/>
  <c r="AL13" i="13"/>
  <c r="E24" i="13" s="1"/>
  <c r="AK13" i="13"/>
  <c r="AJ13" i="13"/>
  <c r="BB13" i="13"/>
  <c r="BA13" i="13"/>
  <c r="AZ13" i="13"/>
  <c r="AY13" i="13"/>
  <c r="AX13" i="13"/>
  <c r="AW13" i="13"/>
  <c r="F24" i="13" s="1"/>
  <c r="AV13" i="13"/>
  <c r="AU13" i="13"/>
  <c r="BM13" i="13"/>
  <c r="BL13" i="13"/>
  <c r="BK13" i="13"/>
  <c r="BJ13" i="13"/>
  <c r="BI13" i="13"/>
  <c r="BH13" i="13"/>
  <c r="G24" i="13" s="1"/>
  <c r="BG13" i="13"/>
  <c r="BF13" i="13"/>
  <c r="J13" i="13"/>
  <c r="I13" i="13"/>
  <c r="H13" i="13"/>
  <c r="G13" i="13"/>
  <c r="F13" i="13"/>
  <c r="E13" i="13"/>
  <c r="B24" i="13" s="1"/>
  <c r="D13" i="13"/>
  <c r="C13" i="13"/>
  <c r="G19" i="13"/>
  <c r="G21" i="13"/>
  <c r="G22" i="13"/>
  <c r="G23" i="13"/>
  <c r="L21" i="46"/>
  <c r="O21" i="46"/>
  <c r="P21" i="46"/>
  <c r="L22" i="46"/>
  <c r="O22" i="46"/>
  <c r="P22" i="46"/>
  <c r="L23" i="46"/>
  <c r="O23" i="46"/>
  <c r="P23" i="46"/>
  <c r="L24" i="46"/>
  <c r="M24" i="46"/>
  <c r="O24" i="46"/>
  <c r="P24" i="46"/>
  <c r="L25" i="46"/>
  <c r="M25" i="46"/>
  <c r="O25" i="46"/>
  <c r="P25" i="46"/>
  <c r="L26" i="46"/>
  <c r="M26" i="46"/>
  <c r="O26" i="46"/>
  <c r="P26" i="46"/>
  <c r="P27" i="46"/>
  <c r="P20" i="46"/>
  <c r="M20" i="46"/>
  <c r="L20" i="46"/>
  <c r="I21" i="46"/>
  <c r="I22" i="46"/>
  <c r="J22" i="46"/>
  <c r="K22" i="46"/>
  <c r="I23" i="46"/>
  <c r="K23" i="46"/>
  <c r="I24" i="46"/>
  <c r="J24" i="46"/>
  <c r="K24" i="46"/>
  <c r="I25" i="46"/>
  <c r="J25" i="46"/>
  <c r="K25" i="46"/>
  <c r="I26" i="46"/>
  <c r="J26" i="46"/>
  <c r="K26" i="46"/>
  <c r="I27" i="46"/>
  <c r="I20" i="46"/>
  <c r="H21" i="46"/>
  <c r="H23" i="46"/>
  <c r="H24" i="46"/>
  <c r="H25" i="46"/>
  <c r="H26" i="46"/>
  <c r="H20" i="46"/>
  <c r="G21" i="46"/>
  <c r="G22" i="46"/>
  <c r="G23" i="46"/>
  <c r="G24" i="46"/>
  <c r="G25" i="46"/>
  <c r="G26" i="46"/>
  <c r="G27" i="46"/>
  <c r="G20" i="46"/>
  <c r="F21" i="46"/>
  <c r="F22" i="46"/>
  <c r="F23" i="46"/>
  <c r="F24" i="46"/>
  <c r="F25" i="46"/>
  <c r="F26" i="46"/>
  <c r="F27" i="46"/>
  <c r="F20" i="46"/>
  <c r="E21" i="46"/>
  <c r="E22" i="46"/>
  <c r="E23" i="46"/>
  <c r="E24" i="46"/>
  <c r="E25" i="46"/>
  <c r="E26" i="46"/>
  <c r="FW13" i="46"/>
  <c r="FV13" i="46"/>
  <c r="FU13" i="46"/>
  <c r="FT13" i="46"/>
  <c r="FS13" i="46"/>
  <c r="FR13" i="46"/>
  <c r="FQ13" i="46"/>
  <c r="FP13" i="46"/>
  <c r="FO13" i="46"/>
  <c r="FW12" i="46"/>
  <c r="FV12" i="46"/>
  <c r="FU12" i="46"/>
  <c r="FT12" i="46"/>
  <c r="FS12" i="46"/>
  <c r="FR12" i="46"/>
  <c r="FQ12" i="46"/>
  <c r="FP12" i="46"/>
  <c r="FO12" i="46"/>
  <c r="FW11" i="46"/>
  <c r="FV11" i="46"/>
  <c r="FU11" i="46"/>
  <c r="FT11" i="46"/>
  <c r="FS11" i="46"/>
  <c r="FR11" i="46"/>
  <c r="FQ11" i="46"/>
  <c r="FP11" i="46"/>
  <c r="FO11" i="46"/>
  <c r="FW10" i="46"/>
  <c r="FV10" i="46"/>
  <c r="FU10" i="46"/>
  <c r="FT10" i="46"/>
  <c r="FS10" i="46"/>
  <c r="FR10" i="46"/>
  <c r="FQ10" i="46"/>
  <c r="FP10" i="46"/>
  <c r="FO10" i="46"/>
  <c r="FW9" i="46"/>
  <c r="FV9" i="46"/>
  <c r="FU9" i="46"/>
  <c r="FT9" i="46"/>
  <c r="FS9" i="46"/>
  <c r="FR9" i="46"/>
  <c r="FQ9" i="46"/>
  <c r="FP9" i="46"/>
  <c r="FO9" i="46"/>
  <c r="FW8" i="46"/>
  <c r="FV8" i="46"/>
  <c r="FU8" i="46"/>
  <c r="FT8" i="46"/>
  <c r="FS8" i="46"/>
  <c r="FR8" i="46"/>
  <c r="FQ8" i="46"/>
  <c r="FP8" i="46"/>
  <c r="FO8" i="46"/>
  <c r="FW7" i="46"/>
  <c r="FV7" i="46"/>
  <c r="FU7" i="46"/>
  <c r="FT7" i="46"/>
  <c r="FS7" i="46"/>
  <c r="FR7" i="46"/>
  <c r="FQ7" i="46"/>
  <c r="FP7" i="46"/>
  <c r="FO7" i="46"/>
  <c r="FW6" i="46"/>
  <c r="FV6" i="46"/>
  <c r="FU6" i="46"/>
  <c r="FT6" i="46"/>
  <c r="FS6" i="46"/>
  <c r="FR6" i="46"/>
  <c r="FQ6" i="46"/>
  <c r="FP6" i="46"/>
  <c r="FO6" i="46"/>
  <c r="FK13" i="46"/>
  <c r="FJ13" i="46"/>
  <c r="FI13" i="46"/>
  <c r="FH13" i="46"/>
  <c r="FG13" i="46"/>
  <c r="FF13" i="46"/>
  <c r="FE13" i="46"/>
  <c r="FD13" i="46"/>
  <c r="FC13" i="46"/>
  <c r="O27" i="46" s="1"/>
  <c r="FK12" i="46"/>
  <c r="FJ12" i="46"/>
  <c r="FI12" i="46"/>
  <c r="FH12" i="46"/>
  <c r="FG12" i="46"/>
  <c r="FF12" i="46"/>
  <c r="FE12" i="46"/>
  <c r="FD12" i="46"/>
  <c r="FC12" i="46"/>
  <c r="FK11" i="46"/>
  <c r="FJ11" i="46"/>
  <c r="FI11" i="46"/>
  <c r="FH11" i="46"/>
  <c r="FG11" i="46"/>
  <c r="FF11" i="46"/>
  <c r="FE11" i="46"/>
  <c r="FD11" i="46"/>
  <c r="FC11" i="46"/>
  <c r="FK10" i="46"/>
  <c r="FJ10" i="46"/>
  <c r="FI10" i="46"/>
  <c r="FH10" i="46"/>
  <c r="FG10" i="46"/>
  <c r="FF10" i="46"/>
  <c r="FE10" i="46"/>
  <c r="FD10" i="46"/>
  <c r="FC10" i="46"/>
  <c r="FK9" i="46"/>
  <c r="FJ9" i="46"/>
  <c r="FI9" i="46"/>
  <c r="FH9" i="46"/>
  <c r="FG9" i="46"/>
  <c r="FF9" i="46"/>
  <c r="FE9" i="46"/>
  <c r="FD9" i="46"/>
  <c r="FC9" i="46"/>
  <c r="FK8" i="46"/>
  <c r="FJ8" i="46"/>
  <c r="FI8" i="46"/>
  <c r="FH8" i="46"/>
  <c r="FG8" i="46"/>
  <c r="FF8" i="46"/>
  <c r="FE8" i="46"/>
  <c r="FD8" i="46"/>
  <c r="FC8" i="46"/>
  <c r="FK7" i="46"/>
  <c r="FJ7" i="46"/>
  <c r="FI7" i="46"/>
  <c r="FH7" i="46"/>
  <c r="FG7" i="46"/>
  <c r="FF7" i="46"/>
  <c r="FE7" i="46"/>
  <c r="FD7" i="46"/>
  <c r="FC7" i="46"/>
  <c r="FK6" i="46"/>
  <c r="FJ6" i="46"/>
  <c r="FI6" i="46"/>
  <c r="FH6" i="46"/>
  <c r="FG6" i="46"/>
  <c r="FF6" i="46"/>
  <c r="FE6" i="46"/>
  <c r="FD6" i="46"/>
  <c r="FC6" i="46"/>
  <c r="O20" i="46" s="1"/>
  <c r="EY13" i="46"/>
  <c r="EX13" i="46"/>
  <c r="EW13" i="46"/>
  <c r="EV13" i="46"/>
  <c r="EU13" i="46"/>
  <c r="ET13" i="46"/>
  <c r="ES13" i="46"/>
  <c r="ER13" i="46"/>
  <c r="EQ13" i="46"/>
  <c r="N27" i="46" s="1"/>
  <c r="EY12" i="46"/>
  <c r="EX12" i="46"/>
  <c r="EW12" i="46"/>
  <c r="EV12" i="46"/>
  <c r="EU12" i="46"/>
  <c r="ET12" i="46"/>
  <c r="ES12" i="46"/>
  <c r="ER12" i="46"/>
  <c r="EQ12" i="46"/>
  <c r="N26" i="46" s="1"/>
  <c r="EY11" i="46"/>
  <c r="EX11" i="46"/>
  <c r="EW11" i="46"/>
  <c r="EV11" i="46"/>
  <c r="EU11" i="46"/>
  <c r="ET11" i="46"/>
  <c r="ES11" i="46"/>
  <c r="ER11" i="46"/>
  <c r="EQ11" i="46"/>
  <c r="N25" i="46" s="1"/>
  <c r="EY10" i="46"/>
  <c r="EX10" i="46"/>
  <c r="EW10" i="46"/>
  <c r="EV10" i="46"/>
  <c r="EU10" i="46"/>
  <c r="ET10" i="46"/>
  <c r="ES10" i="46"/>
  <c r="ER10" i="46"/>
  <c r="EQ10" i="46"/>
  <c r="N24" i="46" s="1"/>
  <c r="EY9" i="46"/>
  <c r="EX9" i="46"/>
  <c r="EW9" i="46"/>
  <c r="EV9" i="46"/>
  <c r="EU9" i="46"/>
  <c r="ET9" i="46"/>
  <c r="ES9" i="46"/>
  <c r="ER9" i="46"/>
  <c r="EQ9" i="46"/>
  <c r="N23" i="46" s="1"/>
  <c r="EY8" i="46"/>
  <c r="EX8" i="46"/>
  <c r="EW8" i="46"/>
  <c r="EV8" i="46"/>
  <c r="EU8" i="46"/>
  <c r="ET8" i="46"/>
  <c r="ES8" i="46"/>
  <c r="ER8" i="46"/>
  <c r="EQ8" i="46"/>
  <c r="N22" i="46" s="1"/>
  <c r="EY7" i="46"/>
  <c r="EX7" i="46"/>
  <c r="EW7" i="46"/>
  <c r="EV7" i="46"/>
  <c r="EU7" i="46"/>
  <c r="ET7" i="46"/>
  <c r="ES7" i="46"/>
  <c r="ER7" i="46"/>
  <c r="EQ7" i="46"/>
  <c r="N21" i="46" s="1"/>
  <c r="EY6" i="46"/>
  <c r="EX6" i="46"/>
  <c r="EW6" i="46"/>
  <c r="EV6" i="46"/>
  <c r="EU6" i="46"/>
  <c r="ET6" i="46"/>
  <c r="ES6" i="46"/>
  <c r="ER6" i="46"/>
  <c r="EQ6" i="46"/>
  <c r="N20" i="46" s="1"/>
  <c r="EM13" i="46"/>
  <c r="EL13" i="46"/>
  <c r="EK13" i="46"/>
  <c r="EJ13" i="46"/>
  <c r="EI13" i="46"/>
  <c r="EH13" i="46"/>
  <c r="EG13" i="46"/>
  <c r="EF13" i="46"/>
  <c r="EE13" i="46"/>
  <c r="M27" i="46" s="1"/>
  <c r="EM12" i="46"/>
  <c r="EL12" i="46"/>
  <c r="EK12" i="46"/>
  <c r="EJ12" i="46"/>
  <c r="EI12" i="46"/>
  <c r="EH12" i="46"/>
  <c r="EG12" i="46"/>
  <c r="EF12" i="46"/>
  <c r="EE12" i="46"/>
  <c r="EM11" i="46"/>
  <c r="EL11" i="46"/>
  <c r="EK11" i="46"/>
  <c r="EJ11" i="46"/>
  <c r="EI11" i="46"/>
  <c r="EH11" i="46"/>
  <c r="EG11" i="46"/>
  <c r="EF11" i="46"/>
  <c r="EE11" i="46"/>
  <c r="EM10" i="46"/>
  <c r="EL10" i="46"/>
  <c r="EK10" i="46"/>
  <c r="EJ10" i="46"/>
  <c r="EI10" i="46"/>
  <c r="EH10" i="46"/>
  <c r="EG10" i="46"/>
  <c r="EF10" i="46"/>
  <c r="EE10" i="46"/>
  <c r="EM9" i="46"/>
  <c r="EL9" i="46"/>
  <c r="EK9" i="46"/>
  <c r="EJ9" i="46"/>
  <c r="EI9" i="46"/>
  <c r="EH9" i="46"/>
  <c r="EG9" i="46"/>
  <c r="EF9" i="46"/>
  <c r="EE9" i="46"/>
  <c r="M23" i="46" s="1"/>
  <c r="EM8" i="46"/>
  <c r="EL8" i="46"/>
  <c r="EK8" i="46"/>
  <c r="EJ8" i="46"/>
  <c r="EI8" i="46"/>
  <c r="EH8" i="46"/>
  <c r="EG8" i="46"/>
  <c r="EF8" i="46"/>
  <c r="EE8" i="46"/>
  <c r="M22" i="46" s="1"/>
  <c r="EM7" i="46"/>
  <c r="EL7" i="46"/>
  <c r="EK7" i="46"/>
  <c r="EJ7" i="46"/>
  <c r="EI7" i="46"/>
  <c r="EH7" i="46"/>
  <c r="EG7" i="46"/>
  <c r="EF7" i="46"/>
  <c r="EE7" i="46"/>
  <c r="M21" i="46" s="1"/>
  <c r="EM6" i="46"/>
  <c r="EL6" i="46"/>
  <c r="EK6" i="46"/>
  <c r="EJ6" i="46"/>
  <c r="EI6" i="46"/>
  <c r="EH6" i="46"/>
  <c r="EG6" i="46"/>
  <c r="EF6" i="46"/>
  <c r="EE6" i="46"/>
  <c r="EA13" i="46"/>
  <c r="DZ13" i="46"/>
  <c r="DY13" i="46"/>
  <c r="DX13" i="46"/>
  <c r="DW13" i="46"/>
  <c r="DV13" i="46"/>
  <c r="DU13" i="46"/>
  <c r="DT13" i="46"/>
  <c r="DS13" i="46"/>
  <c r="L27" i="46" s="1"/>
  <c r="EA12" i="46"/>
  <c r="DZ12" i="46"/>
  <c r="DY12" i="46"/>
  <c r="DX12" i="46"/>
  <c r="DW12" i="46"/>
  <c r="DV12" i="46"/>
  <c r="DU12" i="46"/>
  <c r="DT12" i="46"/>
  <c r="DS12" i="46"/>
  <c r="EA11" i="46"/>
  <c r="DZ11" i="46"/>
  <c r="DY11" i="46"/>
  <c r="DX11" i="46"/>
  <c r="DW11" i="46"/>
  <c r="DV11" i="46"/>
  <c r="DU11" i="46"/>
  <c r="DT11" i="46"/>
  <c r="DS11" i="46"/>
  <c r="EA10" i="46"/>
  <c r="DZ10" i="46"/>
  <c r="DY10" i="46"/>
  <c r="DX10" i="46"/>
  <c r="DW10" i="46"/>
  <c r="DV10" i="46"/>
  <c r="DU10" i="46"/>
  <c r="DT10" i="46"/>
  <c r="DS10" i="46"/>
  <c r="EA9" i="46"/>
  <c r="DZ9" i="46"/>
  <c r="DY9" i="46"/>
  <c r="DX9" i="46"/>
  <c r="DW9" i="46"/>
  <c r="DV9" i="46"/>
  <c r="DU9" i="46"/>
  <c r="DT9" i="46"/>
  <c r="DS9" i="46"/>
  <c r="EA8" i="46"/>
  <c r="DZ8" i="46"/>
  <c r="DY8" i="46"/>
  <c r="DX8" i="46"/>
  <c r="DW8" i="46"/>
  <c r="DV8" i="46"/>
  <c r="DU8" i="46"/>
  <c r="DT8" i="46"/>
  <c r="DS8" i="46"/>
  <c r="EA7" i="46"/>
  <c r="DZ7" i="46"/>
  <c r="DY7" i="46"/>
  <c r="DX7" i="46"/>
  <c r="DW7" i="46"/>
  <c r="DV7" i="46"/>
  <c r="DU7" i="46"/>
  <c r="DT7" i="46"/>
  <c r="DS7" i="46"/>
  <c r="EA6" i="46"/>
  <c r="DZ6" i="46"/>
  <c r="DY6" i="46"/>
  <c r="DX6" i="46"/>
  <c r="DW6" i="46"/>
  <c r="DV6" i="46"/>
  <c r="DU6" i="46"/>
  <c r="DT6" i="46"/>
  <c r="DS6" i="46"/>
  <c r="DO13" i="46"/>
  <c r="DN13" i="46"/>
  <c r="DM13" i="46"/>
  <c r="DL13" i="46"/>
  <c r="DK13" i="46"/>
  <c r="DJ13" i="46"/>
  <c r="DI13" i="46"/>
  <c r="DH13" i="46"/>
  <c r="DG13" i="46"/>
  <c r="K27" i="46" s="1"/>
  <c r="DO12" i="46"/>
  <c r="DN12" i="46"/>
  <c r="DM12" i="46"/>
  <c r="DL12" i="46"/>
  <c r="DK12" i="46"/>
  <c r="DJ12" i="46"/>
  <c r="DI12" i="46"/>
  <c r="DH12" i="46"/>
  <c r="DG12" i="46"/>
  <c r="DO11" i="46"/>
  <c r="DN11" i="46"/>
  <c r="DM11" i="46"/>
  <c r="DL11" i="46"/>
  <c r="DK11" i="46"/>
  <c r="DJ11" i="46"/>
  <c r="DI11" i="46"/>
  <c r="DH11" i="46"/>
  <c r="DG11" i="46"/>
  <c r="DO10" i="46"/>
  <c r="DN10" i="46"/>
  <c r="DM10" i="46"/>
  <c r="DL10" i="46"/>
  <c r="DK10" i="46"/>
  <c r="DJ10" i="46"/>
  <c r="DI10" i="46"/>
  <c r="DH10" i="46"/>
  <c r="DG10" i="46"/>
  <c r="DO9" i="46"/>
  <c r="DN9" i="46"/>
  <c r="DM9" i="46"/>
  <c r="DL9" i="46"/>
  <c r="DK9" i="46"/>
  <c r="DJ9" i="46"/>
  <c r="DI9" i="46"/>
  <c r="DH9" i="46"/>
  <c r="DG9" i="46"/>
  <c r="DO8" i="46"/>
  <c r="DN8" i="46"/>
  <c r="DM8" i="46"/>
  <c r="DL8" i="46"/>
  <c r="DK8" i="46"/>
  <c r="DJ8" i="46"/>
  <c r="DI8" i="46"/>
  <c r="DH8" i="46"/>
  <c r="DG8" i="46"/>
  <c r="DO7" i="46"/>
  <c r="DN7" i="46"/>
  <c r="DM7" i="46"/>
  <c r="DL7" i="46"/>
  <c r="DK7" i="46"/>
  <c r="DJ7" i="46"/>
  <c r="DI7" i="46"/>
  <c r="DH7" i="46"/>
  <c r="DG7" i="46"/>
  <c r="K21" i="46" s="1"/>
  <c r="DO6" i="46"/>
  <c r="DN6" i="46"/>
  <c r="DM6" i="46"/>
  <c r="DL6" i="46"/>
  <c r="DK6" i="46"/>
  <c r="DJ6" i="46"/>
  <c r="DI6" i="46"/>
  <c r="DC13" i="46"/>
  <c r="DB13" i="46"/>
  <c r="DA13" i="46"/>
  <c r="CZ13" i="46"/>
  <c r="CY13" i="46"/>
  <c r="CX13" i="46"/>
  <c r="CW13" i="46"/>
  <c r="CV13" i="46"/>
  <c r="CU13" i="46"/>
  <c r="J27" i="46" s="1"/>
  <c r="DC12" i="46"/>
  <c r="DB12" i="46"/>
  <c r="DA12" i="46"/>
  <c r="CZ12" i="46"/>
  <c r="CY12" i="46"/>
  <c r="CX12" i="46"/>
  <c r="CW12" i="46"/>
  <c r="CV12" i="46"/>
  <c r="CU12" i="46"/>
  <c r="DC11" i="46"/>
  <c r="DB11" i="46"/>
  <c r="DA11" i="46"/>
  <c r="CZ11" i="46"/>
  <c r="CY11" i="46"/>
  <c r="CX11" i="46"/>
  <c r="CW11" i="46"/>
  <c r="CV11" i="46"/>
  <c r="CU11" i="46"/>
  <c r="DC10" i="46"/>
  <c r="DB10" i="46"/>
  <c r="DA10" i="46"/>
  <c r="CZ10" i="46"/>
  <c r="CY10" i="46"/>
  <c r="CX10" i="46"/>
  <c r="CW10" i="46"/>
  <c r="CV10" i="46"/>
  <c r="CU10" i="46"/>
  <c r="DC9" i="46"/>
  <c r="DB9" i="46"/>
  <c r="DA9" i="46"/>
  <c r="CZ9" i="46"/>
  <c r="CY9" i="46"/>
  <c r="CX9" i="46"/>
  <c r="CW9" i="46"/>
  <c r="CV9" i="46"/>
  <c r="CU9" i="46"/>
  <c r="J23" i="46" s="1"/>
  <c r="DC8" i="46"/>
  <c r="DB8" i="46"/>
  <c r="DA8" i="46"/>
  <c r="CZ8" i="46"/>
  <c r="CY8" i="46"/>
  <c r="CX8" i="46"/>
  <c r="CW8" i="46"/>
  <c r="CV8" i="46"/>
  <c r="CU8" i="46"/>
  <c r="DC7" i="46"/>
  <c r="DB7" i="46"/>
  <c r="DA7" i="46"/>
  <c r="CZ7" i="46"/>
  <c r="CY7" i="46"/>
  <c r="CX7" i="46"/>
  <c r="CW7" i="46"/>
  <c r="CV7" i="46"/>
  <c r="CU7" i="46"/>
  <c r="J21" i="46" s="1"/>
  <c r="DC6" i="46"/>
  <c r="DB6" i="46"/>
  <c r="DA6" i="46"/>
  <c r="CZ6" i="46"/>
  <c r="CY6" i="46"/>
  <c r="CX6" i="46"/>
  <c r="CW6" i="46"/>
  <c r="CV6" i="46"/>
  <c r="CU6" i="46"/>
  <c r="J20" i="46" s="1"/>
  <c r="CI6" i="46"/>
  <c r="BW6" i="46"/>
  <c r="BK6" i="46"/>
  <c r="AY6" i="46"/>
  <c r="AM6" i="46"/>
  <c r="E20" i="46" s="1"/>
  <c r="CQ13" i="46"/>
  <c r="CP13" i="46"/>
  <c r="CO13" i="46"/>
  <c r="CN13" i="46"/>
  <c r="CM13" i="46"/>
  <c r="CL13" i="46"/>
  <c r="CK13" i="46"/>
  <c r="CJ13" i="46"/>
  <c r="CI13" i="46"/>
  <c r="CQ12" i="46"/>
  <c r="CP12" i="46"/>
  <c r="CO12" i="46"/>
  <c r="CN12" i="46"/>
  <c r="CM12" i="46"/>
  <c r="CL12" i="46"/>
  <c r="CK12" i="46"/>
  <c r="CJ12" i="46"/>
  <c r="CI12" i="46"/>
  <c r="CQ11" i="46"/>
  <c r="CP11" i="46"/>
  <c r="CO11" i="46"/>
  <c r="CN11" i="46"/>
  <c r="CM11" i="46"/>
  <c r="CL11" i="46"/>
  <c r="CK11" i="46"/>
  <c r="CJ11" i="46"/>
  <c r="CI11" i="46"/>
  <c r="CQ10" i="46"/>
  <c r="CP10" i="46"/>
  <c r="CO10" i="46"/>
  <c r="CN10" i="46"/>
  <c r="CM10" i="46"/>
  <c r="CL10" i="46"/>
  <c r="CK10" i="46"/>
  <c r="CJ10" i="46"/>
  <c r="CI10" i="46"/>
  <c r="CQ9" i="46"/>
  <c r="CP9" i="46"/>
  <c r="CO9" i="46"/>
  <c r="CN9" i="46"/>
  <c r="CM9" i="46"/>
  <c r="CL9" i="46"/>
  <c r="CK9" i="46"/>
  <c r="CJ9" i="46"/>
  <c r="CI9" i="46"/>
  <c r="CQ8" i="46"/>
  <c r="CP8" i="46"/>
  <c r="CO8" i="46"/>
  <c r="CN8" i="46"/>
  <c r="CM8" i="46"/>
  <c r="CL8" i="46"/>
  <c r="CK8" i="46"/>
  <c r="CJ8" i="46"/>
  <c r="CI8" i="46"/>
  <c r="CQ7" i="46"/>
  <c r="CP7" i="46"/>
  <c r="CO7" i="46"/>
  <c r="CN7" i="46"/>
  <c r="CM7" i="46"/>
  <c r="CL7" i="46"/>
  <c r="CK7" i="46"/>
  <c r="CJ7" i="46"/>
  <c r="CI7" i="46"/>
  <c r="CQ6" i="46"/>
  <c r="CP6" i="46"/>
  <c r="CO6" i="46"/>
  <c r="CN6" i="46"/>
  <c r="CM6" i="46"/>
  <c r="CL6" i="46"/>
  <c r="CK6" i="46"/>
  <c r="CJ6" i="46"/>
  <c r="CE13" i="46"/>
  <c r="CD13" i="46"/>
  <c r="CC13" i="46"/>
  <c r="CB13" i="46"/>
  <c r="CA13" i="46"/>
  <c r="BZ13" i="46"/>
  <c r="BY13" i="46"/>
  <c r="BX13" i="46"/>
  <c r="BW13" i="46"/>
  <c r="H27" i="46" s="1"/>
  <c r="CE12" i="46"/>
  <c r="CD12" i="46"/>
  <c r="CC12" i="46"/>
  <c r="CB12" i="46"/>
  <c r="CA12" i="46"/>
  <c r="BZ12" i="46"/>
  <c r="BY12" i="46"/>
  <c r="BX12" i="46"/>
  <c r="BW12" i="46"/>
  <c r="CE11" i="46"/>
  <c r="CD11" i="46"/>
  <c r="CC11" i="46"/>
  <c r="CB11" i="46"/>
  <c r="CA11" i="46"/>
  <c r="BZ11" i="46"/>
  <c r="BY11" i="46"/>
  <c r="BX11" i="46"/>
  <c r="BW11" i="46"/>
  <c r="CE10" i="46"/>
  <c r="CD10" i="46"/>
  <c r="CC10" i="46"/>
  <c r="CB10" i="46"/>
  <c r="CA10" i="46"/>
  <c r="BZ10" i="46"/>
  <c r="BY10" i="46"/>
  <c r="BX10" i="46"/>
  <c r="BW10" i="46"/>
  <c r="CE9" i="46"/>
  <c r="CD9" i="46"/>
  <c r="CC9" i="46"/>
  <c r="CB9" i="46"/>
  <c r="CA9" i="46"/>
  <c r="BZ9" i="46"/>
  <c r="BY9" i="46"/>
  <c r="BX9" i="46"/>
  <c r="BW9" i="46"/>
  <c r="CE8" i="46"/>
  <c r="CD8" i="46"/>
  <c r="CC8" i="46"/>
  <c r="CB8" i="46"/>
  <c r="CA8" i="46"/>
  <c r="BZ8" i="46"/>
  <c r="BY8" i="46"/>
  <c r="BX8" i="46"/>
  <c r="BW8" i="46"/>
  <c r="H22" i="46" s="1"/>
  <c r="CE7" i="46"/>
  <c r="CD7" i="46"/>
  <c r="CC7" i="46"/>
  <c r="CB7" i="46"/>
  <c r="CA7" i="46"/>
  <c r="BZ7" i="46"/>
  <c r="BY7" i="46"/>
  <c r="BX7" i="46"/>
  <c r="BW7" i="46"/>
  <c r="CE6" i="46"/>
  <c r="CD6" i="46"/>
  <c r="CC6" i="46"/>
  <c r="CB6" i="46"/>
  <c r="CA6" i="46"/>
  <c r="BZ6" i="46"/>
  <c r="BY6" i="46"/>
  <c r="BX6" i="46"/>
  <c r="BS13" i="46"/>
  <c r="BR13" i="46"/>
  <c r="BQ13" i="46"/>
  <c r="BP13" i="46"/>
  <c r="BO13" i="46"/>
  <c r="BN13" i="46"/>
  <c r="BM13" i="46"/>
  <c r="BL13" i="46"/>
  <c r="BK13" i="46"/>
  <c r="BS12" i="46"/>
  <c r="BR12" i="46"/>
  <c r="BQ12" i="46"/>
  <c r="BP12" i="46"/>
  <c r="BO12" i="46"/>
  <c r="BN12" i="46"/>
  <c r="BM12" i="46"/>
  <c r="BL12" i="46"/>
  <c r="BK12" i="46"/>
  <c r="BS11" i="46"/>
  <c r="BR11" i="46"/>
  <c r="BQ11" i="46"/>
  <c r="BP11" i="46"/>
  <c r="BO11" i="46"/>
  <c r="BN11" i="46"/>
  <c r="BM11" i="46"/>
  <c r="BL11" i="46"/>
  <c r="BK11" i="46"/>
  <c r="BS10" i="46"/>
  <c r="BR10" i="46"/>
  <c r="BQ10" i="46"/>
  <c r="BP10" i="46"/>
  <c r="BO10" i="46"/>
  <c r="BN10" i="46"/>
  <c r="BM10" i="46"/>
  <c r="BL10" i="46"/>
  <c r="BK10" i="46"/>
  <c r="BS9" i="46"/>
  <c r="BR9" i="46"/>
  <c r="BQ9" i="46"/>
  <c r="BP9" i="46"/>
  <c r="BO9" i="46"/>
  <c r="BN9" i="46"/>
  <c r="BM9" i="46"/>
  <c r="BL9" i="46"/>
  <c r="BK9" i="46"/>
  <c r="BS8" i="46"/>
  <c r="BR8" i="46"/>
  <c r="BQ8" i="46"/>
  <c r="BP8" i="46"/>
  <c r="BO8" i="46"/>
  <c r="BN8" i="46"/>
  <c r="BM8" i="46"/>
  <c r="BL8" i="46"/>
  <c r="BK8" i="46"/>
  <c r="BS7" i="46"/>
  <c r="BR7" i="46"/>
  <c r="BQ7" i="46"/>
  <c r="BP7" i="46"/>
  <c r="BO7" i="46"/>
  <c r="BN7" i="46"/>
  <c r="BM7" i="46"/>
  <c r="BL7" i="46"/>
  <c r="BK7" i="46"/>
  <c r="BS6" i="46"/>
  <c r="BR6" i="46"/>
  <c r="BQ6" i="46"/>
  <c r="BP6" i="46"/>
  <c r="BO6" i="46"/>
  <c r="BN6" i="46"/>
  <c r="BM6" i="46"/>
  <c r="BL6" i="46"/>
  <c r="BG13" i="46"/>
  <c r="BF13" i="46"/>
  <c r="BE13" i="46"/>
  <c r="BD13" i="46"/>
  <c r="BC13" i="46"/>
  <c r="BB13" i="46"/>
  <c r="BA13" i="46"/>
  <c r="AZ13" i="46"/>
  <c r="AY13" i="46"/>
  <c r="BG12" i="46"/>
  <c r="BF12" i="46"/>
  <c r="BE12" i="46"/>
  <c r="BD12" i="46"/>
  <c r="BC12" i="46"/>
  <c r="BB12" i="46"/>
  <c r="BA12" i="46"/>
  <c r="AZ12" i="46"/>
  <c r="AY12" i="46"/>
  <c r="BG11" i="46"/>
  <c r="BF11" i="46"/>
  <c r="BE11" i="46"/>
  <c r="BD11" i="46"/>
  <c r="BC11" i="46"/>
  <c r="BB11" i="46"/>
  <c r="BA11" i="46"/>
  <c r="AZ11" i="46"/>
  <c r="AY11" i="46"/>
  <c r="BG10" i="46"/>
  <c r="BF10" i="46"/>
  <c r="BE10" i="46"/>
  <c r="BD10" i="46"/>
  <c r="BC10" i="46"/>
  <c r="BB10" i="46"/>
  <c r="BA10" i="46"/>
  <c r="AZ10" i="46"/>
  <c r="AY10" i="46"/>
  <c r="BG9" i="46"/>
  <c r="BF9" i="46"/>
  <c r="BE9" i="46"/>
  <c r="BD9" i="46"/>
  <c r="BC9" i="46"/>
  <c r="BB9" i="46"/>
  <c r="BA9" i="46"/>
  <c r="AZ9" i="46"/>
  <c r="AY9" i="46"/>
  <c r="BG8" i="46"/>
  <c r="BF8" i="46"/>
  <c r="BE8" i="46"/>
  <c r="BD8" i="46"/>
  <c r="BC8" i="46"/>
  <c r="BB8" i="46"/>
  <c r="BA8" i="46"/>
  <c r="AZ8" i="46"/>
  <c r="AY8" i="46"/>
  <c r="BG7" i="46"/>
  <c r="BF7" i="46"/>
  <c r="BE7" i="46"/>
  <c r="BD7" i="46"/>
  <c r="BC7" i="46"/>
  <c r="BB7" i="46"/>
  <c r="BA7" i="46"/>
  <c r="AZ7" i="46"/>
  <c r="AY7" i="46"/>
  <c r="BG6" i="46"/>
  <c r="BF6" i="46"/>
  <c r="BE6" i="46"/>
  <c r="BD6" i="46"/>
  <c r="BC6" i="46"/>
  <c r="BB6" i="46"/>
  <c r="BA6" i="46"/>
  <c r="AZ6" i="46"/>
  <c r="AU13" i="46"/>
  <c r="AT13" i="46"/>
  <c r="AS13" i="46"/>
  <c r="AR13" i="46"/>
  <c r="AQ13" i="46"/>
  <c r="AP13" i="46"/>
  <c r="AO13" i="46"/>
  <c r="AN13" i="46"/>
  <c r="AM13" i="46"/>
  <c r="E27" i="46" s="1"/>
  <c r="AU12" i="46"/>
  <c r="AT12" i="46"/>
  <c r="AS12" i="46"/>
  <c r="AR12" i="46"/>
  <c r="AQ12" i="46"/>
  <c r="AP12" i="46"/>
  <c r="AO12" i="46"/>
  <c r="AN12" i="46"/>
  <c r="AM12" i="46"/>
  <c r="AU11" i="46"/>
  <c r="AT11" i="46"/>
  <c r="AS11" i="46"/>
  <c r="AR11" i="46"/>
  <c r="AQ11" i="46"/>
  <c r="AP11" i="46"/>
  <c r="AO11" i="46"/>
  <c r="AN11" i="46"/>
  <c r="AM11" i="46"/>
  <c r="AU10" i="46"/>
  <c r="AT10" i="46"/>
  <c r="AS10" i="46"/>
  <c r="AR10" i="46"/>
  <c r="AQ10" i="46"/>
  <c r="AP10" i="46"/>
  <c r="AO10" i="46"/>
  <c r="AN10" i="46"/>
  <c r="AM10" i="46"/>
  <c r="AU9" i="46"/>
  <c r="AT9" i="46"/>
  <c r="AS9" i="46"/>
  <c r="AR9" i="46"/>
  <c r="AQ9" i="46"/>
  <c r="AP9" i="46"/>
  <c r="AO9" i="46"/>
  <c r="AN9" i="46"/>
  <c r="AM9" i="46"/>
  <c r="AU8" i="46"/>
  <c r="AT8" i="46"/>
  <c r="AS8" i="46"/>
  <c r="AR8" i="46"/>
  <c r="AQ8" i="46"/>
  <c r="AP8" i="46"/>
  <c r="AO8" i="46"/>
  <c r="AN8" i="46"/>
  <c r="AM8" i="46"/>
  <c r="AU7" i="46"/>
  <c r="AT7" i="46"/>
  <c r="AS7" i="46"/>
  <c r="AR7" i="46"/>
  <c r="AQ7" i="46"/>
  <c r="AP7" i="46"/>
  <c r="AO7" i="46"/>
  <c r="AN7" i="46"/>
  <c r="AM7" i="46"/>
  <c r="AU6" i="46"/>
  <c r="AT6" i="46"/>
  <c r="AS6" i="46"/>
  <c r="AR6" i="46"/>
  <c r="AQ6" i="46"/>
  <c r="AP6" i="46"/>
  <c r="AO6" i="46"/>
  <c r="AN6" i="46"/>
  <c r="C6" i="46"/>
  <c r="B20" i="46" s="1"/>
  <c r="AA6" i="46"/>
  <c r="D20" i="46" s="1"/>
  <c r="O6" i="46"/>
  <c r="C20" i="46" s="1"/>
  <c r="AI13" i="46"/>
  <c r="AH13" i="46"/>
  <c r="AG13" i="46"/>
  <c r="AF13" i="46"/>
  <c r="AE13" i="46"/>
  <c r="AD13" i="46"/>
  <c r="AC13" i="46"/>
  <c r="AB13" i="46"/>
  <c r="AA13" i="46"/>
  <c r="D27" i="46" s="1"/>
  <c r="AI12" i="46"/>
  <c r="AH12" i="46"/>
  <c r="AG12" i="46"/>
  <c r="AF12" i="46"/>
  <c r="AE12" i="46"/>
  <c r="AD12" i="46"/>
  <c r="AC12" i="46"/>
  <c r="AB12" i="46"/>
  <c r="AA12" i="46"/>
  <c r="D26" i="46" s="1"/>
  <c r="AI11" i="46"/>
  <c r="AH11" i="46"/>
  <c r="AG11" i="46"/>
  <c r="AF11" i="46"/>
  <c r="AE11" i="46"/>
  <c r="AD11" i="46"/>
  <c r="AC11" i="46"/>
  <c r="AB11" i="46"/>
  <c r="AA11" i="46"/>
  <c r="D25" i="46" s="1"/>
  <c r="AI10" i="46"/>
  <c r="AH10" i="46"/>
  <c r="AG10" i="46"/>
  <c r="AF10" i="46"/>
  <c r="AE10" i="46"/>
  <c r="AD10" i="46"/>
  <c r="AC10" i="46"/>
  <c r="AB10" i="46"/>
  <c r="AA10" i="46"/>
  <c r="D24" i="46" s="1"/>
  <c r="AI9" i="46"/>
  <c r="AH9" i="46"/>
  <c r="AG9" i="46"/>
  <c r="AF9" i="46"/>
  <c r="AE9" i="46"/>
  <c r="AD9" i="46"/>
  <c r="AC9" i="46"/>
  <c r="AB9" i="46"/>
  <c r="AA9" i="46"/>
  <c r="D23" i="46" s="1"/>
  <c r="AI8" i="46"/>
  <c r="AH8" i="46"/>
  <c r="AG8" i="46"/>
  <c r="AF8" i="46"/>
  <c r="AE8" i="46"/>
  <c r="AD8" i="46"/>
  <c r="AC8" i="46"/>
  <c r="AB8" i="46"/>
  <c r="AA8" i="46"/>
  <c r="D22" i="46" s="1"/>
  <c r="AI7" i="46"/>
  <c r="AH7" i="46"/>
  <c r="AG7" i="46"/>
  <c r="AF7" i="46"/>
  <c r="AE7" i="46"/>
  <c r="AD7" i="46"/>
  <c r="AC7" i="46"/>
  <c r="AB7" i="46"/>
  <c r="AA7" i="46"/>
  <c r="D21" i="46" s="1"/>
  <c r="AI6" i="46"/>
  <c r="AH6" i="46"/>
  <c r="AG6" i="46"/>
  <c r="AF6" i="46"/>
  <c r="AE6" i="46"/>
  <c r="AD6" i="46"/>
  <c r="AC6" i="46"/>
  <c r="AB6" i="46"/>
  <c r="W13" i="46"/>
  <c r="V13" i="46"/>
  <c r="U13" i="46"/>
  <c r="T13" i="46"/>
  <c r="S13" i="46"/>
  <c r="R13" i="46"/>
  <c r="Q13" i="46"/>
  <c r="P13" i="46"/>
  <c r="O13" i="46"/>
  <c r="C27" i="46" s="1"/>
  <c r="W12" i="46"/>
  <c r="V12" i="46"/>
  <c r="U12" i="46"/>
  <c r="T12" i="46"/>
  <c r="S12" i="46"/>
  <c r="R12" i="46"/>
  <c r="Q12" i="46"/>
  <c r="P12" i="46"/>
  <c r="O12" i="46"/>
  <c r="C26" i="46" s="1"/>
  <c r="W11" i="46"/>
  <c r="V11" i="46"/>
  <c r="U11" i="46"/>
  <c r="T11" i="46"/>
  <c r="S11" i="46"/>
  <c r="R11" i="46"/>
  <c r="Q11" i="46"/>
  <c r="P11" i="46"/>
  <c r="O11" i="46"/>
  <c r="C25" i="46" s="1"/>
  <c r="W10" i="46"/>
  <c r="V10" i="46"/>
  <c r="U10" i="46"/>
  <c r="T10" i="46"/>
  <c r="S10" i="46"/>
  <c r="R10" i="46"/>
  <c r="Q10" i="46"/>
  <c r="P10" i="46"/>
  <c r="O10" i="46"/>
  <c r="C24" i="46" s="1"/>
  <c r="W9" i="46"/>
  <c r="V9" i="46"/>
  <c r="U9" i="46"/>
  <c r="T9" i="46"/>
  <c r="S9" i="46"/>
  <c r="R9" i="46"/>
  <c r="Q9" i="46"/>
  <c r="P9" i="46"/>
  <c r="O9" i="46"/>
  <c r="C23" i="46" s="1"/>
  <c r="W8" i="46"/>
  <c r="V8" i="46"/>
  <c r="U8" i="46"/>
  <c r="T8" i="46"/>
  <c r="S8" i="46"/>
  <c r="R8" i="46"/>
  <c r="Q8" i="46"/>
  <c r="P8" i="46"/>
  <c r="O8" i="46"/>
  <c r="C22" i="46" s="1"/>
  <c r="W7" i="46"/>
  <c r="V7" i="46"/>
  <c r="U7" i="46"/>
  <c r="T7" i="46"/>
  <c r="S7" i="46"/>
  <c r="R7" i="46"/>
  <c r="Q7" i="46"/>
  <c r="P7" i="46"/>
  <c r="O7" i="46"/>
  <c r="C21" i="46" s="1"/>
  <c r="W6" i="46"/>
  <c r="V6" i="46"/>
  <c r="U6" i="46"/>
  <c r="T6" i="46"/>
  <c r="S6" i="46"/>
  <c r="R6" i="46"/>
  <c r="Q6" i="46"/>
  <c r="P6" i="46"/>
  <c r="K13" i="46"/>
  <c r="J13" i="46"/>
  <c r="E38" i="46" s="1"/>
  <c r="I13" i="46"/>
  <c r="H13" i="46"/>
  <c r="G13" i="46"/>
  <c r="B38" i="46" s="1"/>
  <c r="F13" i="46"/>
  <c r="E13" i="46"/>
  <c r="D13" i="46"/>
  <c r="C13" i="46"/>
  <c r="B27" i="46" s="1"/>
  <c r="K12" i="46"/>
  <c r="K11" i="46"/>
  <c r="K10" i="46"/>
  <c r="K9" i="46"/>
  <c r="K8" i="46"/>
  <c r="K7" i="46"/>
  <c r="K6" i="46"/>
  <c r="J12" i="46"/>
  <c r="J11" i="46"/>
  <c r="J10" i="46"/>
  <c r="J9" i="46"/>
  <c r="J8" i="46"/>
  <c r="J7" i="46"/>
  <c r="J6" i="46"/>
  <c r="I12" i="46"/>
  <c r="I11" i="46"/>
  <c r="I10" i="46"/>
  <c r="I9" i="46"/>
  <c r="I8" i="46"/>
  <c r="I7" i="46"/>
  <c r="D32" i="46" s="1"/>
  <c r="I6" i="46"/>
  <c r="H12" i="46"/>
  <c r="C37" i="46" s="1"/>
  <c r="H11" i="46"/>
  <c r="H10" i="46"/>
  <c r="H8" i="46"/>
  <c r="C33" i="46" s="1"/>
  <c r="H7" i="46"/>
  <c r="H6" i="46"/>
  <c r="G12" i="46"/>
  <c r="G11" i="46"/>
  <c r="G10" i="46"/>
  <c r="G8" i="46"/>
  <c r="B33" i="46" s="1"/>
  <c r="G7" i="46"/>
  <c r="G6" i="46"/>
  <c r="F12" i="46"/>
  <c r="E12" i="46"/>
  <c r="D12" i="46"/>
  <c r="F11" i="46"/>
  <c r="E11" i="46"/>
  <c r="D11" i="46"/>
  <c r="F10" i="46"/>
  <c r="E10" i="46"/>
  <c r="D10" i="46"/>
  <c r="F9" i="46"/>
  <c r="E9" i="46"/>
  <c r="D9" i="46"/>
  <c r="F8" i="46"/>
  <c r="E8" i="46"/>
  <c r="D8" i="46"/>
  <c r="F7" i="46"/>
  <c r="E7" i="46"/>
  <c r="D7" i="46"/>
  <c r="C12" i="46"/>
  <c r="B26" i="46" s="1"/>
  <c r="C11" i="46"/>
  <c r="B25" i="46" s="1"/>
  <c r="C10" i="46"/>
  <c r="B24" i="46" s="1"/>
  <c r="C9" i="46"/>
  <c r="B23" i="46" s="1"/>
  <c r="C8" i="46"/>
  <c r="B22" i="46" s="1"/>
  <c r="C7" i="46"/>
  <c r="B21" i="46" s="1"/>
  <c r="F6" i="46"/>
  <c r="E6" i="46"/>
  <c r="D6" i="46"/>
  <c r="AD143" i="31"/>
  <c r="AL143" i="31" s="1"/>
  <c r="BB6" i="13"/>
  <c r="BM12" i="13"/>
  <c r="BL12" i="13"/>
  <c r="BK12" i="13"/>
  <c r="BJ12" i="13"/>
  <c r="BI12" i="13"/>
  <c r="BH12" i="13"/>
  <c r="BG12" i="13"/>
  <c r="BF12" i="13"/>
  <c r="BM11" i="13"/>
  <c r="BL11" i="13"/>
  <c r="BK11" i="13"/>
  <c r="BJ11" i="13"/>
  <c r="BI11" i="13"/>
  <c r="BH11" i="13"/>
  <c r="BG11" i="13"/>
  <c r="BF11" i="13"/>
  <c r="BM10" i="13"/>
  <c r="BL10" i="13"/>
  <c r="BK10" i="13"/>
  <c r="BJ10" i="13"/>
  <c r="BI10" i="13"/>
  <c r="BH10" i="13"/>
  <c r="BG10" i="13"/>
  <c r="BF10" i="13"/>
  <c r="BM9" i="13"/>
  <c r="BL9" i="13"/>
  <c r="BK9" i="13"/>
  <c r="BJ9" i="13"/>
  <c r="BI9" i="13"/>
  <c r="BH9" i="13"/>
  <c r="G20" i="13" s="1"/>
  <c r="BG9" i="13"/>
  <c r="BF9" i="13"/>
  <c r="BM8" i="13"/>
  <c r="BL8" i="13"/>
  <c r="BK8" i="13"/>
  <c r="BJ8" i="13"/>
  <c r="BI8" i="13"/>
  <c r="BH8" i="13"/>
  <c r="BG8" i="13"/>
  <c r="BF8" i="13"/>
  <c r="BM7" i="13"/>
  <c r="BL7" i="13"/>
  <c r="BK7" i="13"/>
  <c r="BJ7" i="13"/>
  <c r="BI7" i="13"/>
  <c r="BH7" i="13"/>
  <c r="G18" i="13" s="1"/>
  <c r="BG7" i="13"/>
  <c r="BF7" i="13"/>
  <c r="BM6" i="13"/>
  <c r="BL6" i="13"/>
  <c r="BK6" i="13"/>
  <c r="BJ6" i="13"/>
  <c r="BI6" i="13"/>
  <c r="BH6" i="13"/>
  <c r="G17" i="13" s="1"/>
  <c r="BG6" i="13"/>
  <c r="BF6" i="13"/>
  <c r="AJ432" i="31"/>
  <c r="AI432" i="31"/>
  <c r="AH432" i="31"/>
  <c r="AF432" i="31" s="1"/>
  <c r="AG432" i="31"/>
  <c r="AE432" i="31"/>
  <c r="AD432" i="31"/>
  <c r="AL432" i="31" s="1"/>
  <c r="AJ421" i="31"/>
  <c r="AI421" i="31"/>
  <c r="AH421" i="31"/>
  <c r="AF421" i="31" s="1"/>
  <c r="AG421" i="31"/>
  <c r="AE421" i="31"/>
  <c r="AD421" i="31"/>
  <c r="AL421" i="31" s="1"/>
  <c r="AJ420" i="31"/>
  <c r="AI420" i="31"/>
  <c r="AH420" i="31"/>
  <c r="AF420" i="31" s="1"/>
  <c r="AG420" i="31"/>
  <c r="AE420" i="31"/>
  <c r="AD420" i="31"/>
  <c r="AC420" i="31" s="1"/>
  <c r="AJ418" i="31"/>
  <c r="AI418" i="31"/>
  <c r="AH418" i="31"/>
  <c r="AF418" i="31" s="1"/>
  <c r="AG418" i="31"/>
  <c r="AE418" i="31"/>
  <c r="AD418" i="31"/>
  <c r="AL418" i="31" s="1"/>
  <c r="AJ417" i="31"/>
  <c r="AI417" i="31"/>
  <c r="AH417" i="31"/>
  <c r="AF417" i="31" s="1"/>
  <c r="AG417" i="31"/>
  <c r="AE417" i="31"/>
  <c r="AD417" i="31"/>
  <c r="AJ415" i="31"/>
  <c r="AI415" i="31"/>
  <c r="AH415" i="31"/>
  <c r="AF415" i="31" s="1"/>
  <c r="AG415" i="31"/>
  <c r="AE415" i="31"/>
  <c r="AD415" i="31"/>
  <c r="AC415" i="31" s="1"/>
  <c r="AJ413" i="31"/>
  <c r="AI413" i="31"/>
  <c r="AH413" i="31"/>
  <c r="AF413" i="31" s="1"/>
  <c r="AG413" i="31"/>
  <c r="AE413" i="31"/>
  <c r="AD413" i="31"/>
  <c r="AL413" i="31" s="1"/>
  <c r="AJ412" i="31"/>
  <c r="AI412" i="31"/>
  <c r="AH412" i="31"/>
  <c r="AF412" i="31" s="1"/>
  <c r="AG412" i="31"/>
  <c r="AE412" i="31"/>
  <c r="AD412" i="31"/>
  <c r="AL412" i="31" s="1"/>
  <c r="AJ411" i="31"/>
  <c r="AI411" i="31"/>
  <c r="AH411" i="31"/>
  <c r="AF411" i="31" s="1"/>
  <c r="AG411" i="31"/>
  <c r="AE411" i="31"/>
  <c r="AD411" i="31"/>
  <c r="AL411" i="31" s="1"/>
  <c r="AJ410" i="31"/>
  <c r="AI410" i="31"/>
  <c r="AH410" i="31"/>
  <c r="AF410" i="31" s="1"/>
  <c r="AG410" i="31"/>
  <c r="AE410" i="31"/>
  <c r="AD410" i="31"/>
  <c r="AL410" i="31" s="1"/>
  <c r="AJ409" i="31"/>
  <c r="AI409" i="31"/>
  <c r="AH409" i="31"/>
  <c r="AF409" i="31" s="1"/>
  <c r="AG409" i="31"/>
  <c r="AE409" i="31"/>
  <c r="AD409" i="31"/>
  <c r="AC409" i="31" s="1"/>
  <c r="AJ408" i="31"/>
  <c r="AI408" i="31"/>
  <c r="AH408" i="31"/>
  <c r="AF408" i="31" s="1"/>
  <c r="AG408" i="31"/>
  <c r="AE408" i="31"/>
  <c r="AD408" i="31"/>
  <c r="AL408" i="31" s="1"/>
  <c r="AJ407" i="31"/>
  <c r="AI407" i="31"/>
  <c r="AH407" i="31"/>
  <c r="AF407" i="31" s="1"/>
  <c r="AG407" i="31"/>
  <c r="AE407" i="31"/>
  <c r="AD407" i="31"/>
  <c r="AJ406" i="31"/>
  <c r="AI406" i="31"/>
  <c r="AH406" i="31"/>
  <c r="AF406" i="31" s="1"/>
  <c r="AG406" i="31"/>
  <c r="AE406" i="31"/>
  <c r="AD406" i="31"/>
  <c r="AC406" i="31" s="1"/>
  <c r="AJ404" i="31"/>
  <c r="AI404" i="31"/>
  <c r="AH404" i="31"/>
  <c r="AF404" i="31" s="1"/>
  <c r="AG404" i="31"/>
  <c r="AE404" i="31"/>
  <c r="AD404" i="31"/>
  <c r="AL404" i="31" s="1"/>
  <c r="AJ403" i="31"/>
  <c r="AI403" i="31"/>
  <c r="AH403" i="31"/>
  <c r="AF403" i="31" s="1"/>
  <c r="AG403" i="31"/>
  <c r="AE403" i="31"/>
  <c r="AD403" i="31"/>
  <c r="AJ399" i="31"/>
  <c r="AI399" i="31"/>
  <c r="AH399" i="31"/>
  <c r="AF399" i="31" s="1"/>
  <c r="AG399" i="31"/>
  <c r="AE399" i="31"/>
  <c r="AD399" i="31"/>
  <c r="AL399" i="31" s="1"/>
  <c r="AJ398" i="31"/>
  <c r="AI398" i="31"/>
  <c r="AH398" i="31"/>
  <c r="AF398" i="31" s="1"/>
  <c r="AG398" i="31"/>
  <c r="AE398" i="31"/>
  <c r="AD398" i="31"/>
  <c r="AL398" i="31" s="1"/>
  <c r="AJ397" i="31"/>
  <c r="AI397" i="31"/>
  <c r="AH397" i="31"/>
  <c r="AF397" i="31" s="1"/>
  <c r="AG397" i="31"/>
  <c r="AE397" i="31"/>
  <c r="AD397" i="31"/>
  <c r="AL397" i="31" s="1"/>
  <c r="AJ396" i="31"/>
  <c r="AI396" i="31"/>
  <c r="AH396" i="31"/>
  <c r="AF396" i="31" s="1"/>
  <c r="AG396" i="31"/>
  <c r="AE396" i="31"/>
  <c r="AD396" i="31"/>
  <c r="AL396" i="31" s="1"/>
  <c r="AJ395" i="31"/>
  <c r="AI395" i="31"/>
  <c r="AH395" i="31"/>
  <c r="AF395" i="31" s="1"/>
  <c r="AG395" i="31"/>
  <c r="AE395" i="31"/>
  <c r="AD395" i="31"/>
  <c r="AJ394" i="31"/>
  <c r="AI394" i="31"/>
  <c r="AH394" i="31"/>
  <c r="AF394" i="31" s="1"/>
  <c r="AG394" i="31"/>
  <c r="AE394" i="31"/>
  <c r="AD394" i="31"/>
  <c r="AC394" i="31" s="1"/>
  <c r="AJ393" i="31"/>
  <c r="AI393" i="31"/>
  <c r="AH393" i="31"/>
  <c r="AF393" i="31" s="1"/>
  <c r="AG393" i="31"/>
  <c r="AE393" i="31"/>
  <c r="AD393" i="31"/>
  <c r="AL393" i="31" s="1"/>
  <c r="AJ392" i="31"/>
  <c r="AI392" i="31"/>
  <c r="AH392" i="31"/>
  <c r="AF392" i="31" s="1"/>
  <c r="AG392" i="31"/>
  <c r="AE392" i="31"/>
  <c r="AD392" i="31"/>
  <c r="AL392" i="31" s="1"/>
  <c r="AJ391" i="31"/>
  <c r="AI391" i="31"/>
  <c r="AH391" i="31"/>
  <c r="AF391" i="31" s="1"/>
  <c r="AG391" i="31"/>
  <c r="AE391" i="31"/>
  <c r="AD391" i="31"/>
  <c r="AL391" i="31" s="1"/>
  <c r="AJ389" i="31"/>
  <c r="AI389" i="31"/>
  <c r="AH389" i="31"/>
  <c r="AF389" i="31" s="1"/>
  <c r="AG389" i="31"/>
  <c r="AE389" i="31"/>
  <c r="AD389" i="31"/>
  <c r="AL389" i="31" s="1"/>
  <c r="AJ388" i="31"/>
  <c r="AI388" i="31"/>
  <c r="AH388" i="31"/>
  <c r="AF388" i="31" s="1"/>
  <c r="AG388" i="31"/>
  <c r="AE388" i="31"/>
  <c r="AD388" i="31"/>
  <c r="AL388" i="31" s="1"/>
  <c r="AJ385" i="31"/>
  <c r="AI385" i="31"/>
  <c r="AH385" i="31"/>
  <c r="AF385" i="31" s="1"/>
  <c r="AG385" i="31"/>
  <c r="AE385" i="31"/>
  <c r="AD385" i="31"/>
  <c r="AL385" i="31" s="1"/>
  <c r="AJ384" i="31"/>
  <c r="AI384" i="31"/>
  <c r="AH384" i="31"/>
  <c r="AF384" i="31" s="1"/>
  <c r="AG384" i="31"/>
  <c r="AE384" i="31"/>
  <c r="AD384" i="31"/>
  <c r="AJ383" i="31"/>
  <c r="AI383" i="31"/>
  <c r="AH383" i="31"/>
  <c r="AF383" i="31" s="1"/>
  <c r="AG383" i="31"/>
  <c r="AE383" i="31"/>
  <c r="AD383" i="31"/>
  <c r="AC383" i="31" s="1"/>
  <c r="AJ381" i="31"/>
  <c r="AI381" i="31"/>
  <c r="AH381" i="31"/>
  <c r="AF381" i="31" s="1"/>
  <c r="AG381" i="31"/>
  <c r="AE381" i="31"/>
  <c r="AD381" i="31"/>
  <c r="AL381" i="31" s="1"/>
  <c r="AJ380" i="31"/>
  <c r="AI380" i="31"/>
  <c r="AH380" i="31"/>
  <c r="AF380" i="31" s="1"/>
  <c r="AG380" i="31"/>
  <c r="AE380" i="31"/>
  <c r="AD380" i="31"/>
  <c r="AL380" i="31" s="1"/>
  <c r="AJ379" i="31"/>
  <c r="AI379" i="31"/>
  <c r="AH379" i="31"/>
  <c r="AF379" i="31" s="1"/>
  <c r="AG379" i="31"/>
  <c r="AE379" i="31"/>
  <c r="AD379" i="31"/>
  <c r="AJ378" i="31"/>
  <c r="AI378" i="31"/>
  <c r="AH378" i="31"/>
  <c r="AF378" i="31" s="1"/>
  <c r="AG378" i="31"/>
  <c r="AE378" i="31"/>
  <c r="AD378" i="31"/>
  <c r="AL378" i="31" s="1"/>
  <c r="AJ377" i="31"/>
  <c r="AI377" i="31"/>
  <c r="AH377" i="31"/>
  <c r="AF377" i="31" s="1"/>
  <c r="AG377" i="31"/>
  <c r="AE377" i="31"/>
  <c r="AD377" i="31"/>
  <c r="AJ375" i="31"/>
  <c r="AI375" i="31"/>
  <c r="AH375" i="31"/>
  <c r="AF375" i="31" s="1"/>
  <c r="AG375" i="31"/>
  <c r="AE375" i="31"/>
  <c r="AD375" i="31"/>
  <c r="AL375" i="31" s="1"/>
  <c r="AJ374" i="31"/>
  <c r="AI374" i="31"/>
  <c r="AH374" i="31"/>
  <c r="AF374" i="31" s="1"/>
  <c r="AG374" i="31"/>
  <c r="AE374" i="31"/>
  <c r="AD374" i="31"/>
  <c r="AJ373" i="31"/>
  <c r="AI373" i="31"/>
  <c r="AH373" i="31"/>
  <c r="AF373" i="31" s="1"/>
  <c r="AG373" i="31"/>
  <c r="AE373" i="31"/>
  <c r="AD373" i="31"/>
  <c r="AC373" i="31" s="1"/>
  <c r="AJ372" i="31"/>
  <c r="AI372" i="31"/>
  <c r="AH372" i="31"/>
  <c r="AF372" i="31" s="1"/>
  <c r="AG372" i="31"/>
  <c r="AE372" i="31"/>
  <c r="AD372" i="31"/>
  <c r="AL372" i="31" s="1"/>
  <c r="AJ371" i="31"/>
  <c r="AI371" i="31"/>
  <c r="AH371" i="31"/>
  <c r="AF371" i="31" s="1"/>
  <c r="AG371" i="31"/>
  <c r="AE371" i="31"/>
  <c r="AD371" i="31"/>
  <c r="AC371" i="31" s="1"/>
  <c r="AJ370" i="31"/>
  <c r="AI370" i="31"/>
  <c r="AH370" i="31"/>
  <c r="AF370" i="31" s="1"/>
  <c r="AG370" i="31"/>
  <c r="AE370" i="31"/>
  <c r="AD370" i="31"/>
  <c r="AL370" i="31" s="1"/>
  <c r="AJ369" i="31"/>
  <c r="AI369" i="31"/>
  <c r="AH369" i="31"/>
  <c r="AF369" i="31" s="1"/>
  <c r="AG369" i="31"/>
  <c r="AE369" i="31"/>
  <c r="AD369" i="31"/>
  <c r="AL369" i="31" s="1"/>
  <c r="AJ368" i="31"/>
  <c r="AI368" i="31"/>
  <c r="AH368" i="31"/>
  <c r="AF368" i="31" s="1"/>
  <c r="AG368" i="31"/>
  <c r="AE368" i="31"/>
  <c r="AD368" i="31"/>
  <c r="AC368" i="31" s="1"/>
  <c r="AJ367" i="31"/>
  <c r="AI367" i="31"/>
  <c r="AH367" i="31"/>
  <c r="AF367" i="31" s="1"/>
  <c r="AG367" i="31"/>
  <c r="AE367" i="31"/>
  <c r="AD367" i="31"/>
  <c r="AL367" i="31" s="1"/>
  <c r="AJ366" i="31"/>
  <c r="AI366" i="31"/>
  <c r="AH366" i="31"/>
  <c r="AF366" i="31" s="1"/>
  <c r="AG366" i="31"/>
  <c r="AE366" i="31"/>
  <c r="AD366" i="31"/>
  <c r="AJ365" i="31"/>
  <c r="AI365" i="31"/>
  <c r="AH365" i="31"/>
  <c r="AF365" i="31" s="1"/>
  <c r="AG365" i="31"/>
  <c r="AE365" i="31"/>
  <c r="AD365" i="31"/>
  <c r="AL365" i="31" s="1"/>
  <c r="AJ364" i="31"/>
  <c r="AI364" i="31"/>
  <c r="AH364" i="31"/>
  <c r="AF364" i="31" s="1"/>
  <c r="AG364" i="31"/>
  <c r="AE364" i="31"/>
  <c r="AD364" i="31"/>
  <c r="AL364" i="31" s="1"/>
  <c r="AJ363" i="31"/>
  <c r="AI363" i="31"/>
  <c r="AH363" i="31"/>
  <c r="AF363" i="31" s="1"/>
  <c r="AG363" i="31"/>
  <c r="AE363" i="31"/>
  <c r="AD363" i="31"/>
  <c r="AL363" i="31" s="1"/>
  <c r="AJ362" i="31"/>
  <c r="AI362" i="31"/>
  <c r="AH362" i="31"/>
  <c r="AF362" i="31" s="1"/>
  <c r="AG362" i="31"/>
  <c r="AE362" i="31"/>
  <c r="AD362" i="31"/>
  <c r="AL362" i="31" s="1"/>
  <c r="AJ361" i="31"/>
  <c r="AI361" i="31"/>
  <c r="AH361" i="31"/>
  <c r="AF361" i="31" s="1"/>
  <c r="AG361" i="31"/>
  <c r="AE361" i="31"/>
  <c r="AD361" i="31"/>
  <c r="AL361" i="31" s="1"/>
  <c r="AJ360" i="31"/>
  <c r="AI360" i="31"/>
  <c r="AH360" i="31"/>
  <c r="AF360" i="31" s="1"/>
  <c r="AG360" i="31"/>
  <c r="AE360" i="31"/>
  <c r="AD360" i="31"/>
  <c r="AC360" i="31" s="1"/>
  <c r="AJ359" i="31"/>
  <c r="AI359" i="31"/>
  <c r="AH359" i="31"/>
  <c r="AF359" i="31" s="1"/>
  <c r="AG359" i="31"/>
  <c r="AE359" i="31"/>
  <c r="AD359" i="31"/>
  <c r="AL359" i="31" s="1"/>
  <c r="AJ358" i="31"/>
  <c r="AI358" i="31"/>
  <c r="AH358" i="31"/>
  <c r="AF358" i="31" s="1"/>
  <c r="AG358" i="31"/>
  <c r="AE358" i="31"/>
  <c r="AD358" i="31"/>
  <c r="AJ357" i="31"/>
  <c r="AI357" i="31"/>
  <c r="AH357" i="31"/>
  <c r="AF357" i="31" s="1"/>
  <c r="AG357" i="31"/>
  <c r="AE357" i="31"/>
  <c r="AD357" i="31"/>
  <c r="AL357" i="31" s="1"/>
  <c r="AJ356" i="31"/>
  <c r="AI356" i="31"/>
  <c r="AH356" i="31"/>
  <c r="AF356" i="31" s="1"/>
  <c r="AG356" i="31"/>
  <c r="AE356" i="31"/>
  <c r="AD356" i="31"/>
  <c r="AL356" i="31" s="1"/>
  <c r="AJ355" i="31"/>
  <c r="AI355" i="31"/>
  <c r="AH355" i="31"/>
  <c r="AF355" i="31" s="1"/>
  <c r="AG355" i="31"/>
  <c r="AE355" i="31"/>
  <c r="AD355" i="31"/>
  <c r="AJ354" i="31"/>
  <c r="AI354" i="31"/>
  <c r="AH354" i="31"/>
  <c r="AF354" i="31" s="1"/>
  <c r="AG354" i="31"/>
  <c r="AE354" i="31"/>
  <c r="AD354" i="31"/>
  <c r="AL354" i="31" s="1"/>
  <c r="AJ353" i="31"/>
  <c r="AI353" i="31"/>
  <c r="AH353" i="31"/>
  <c r="AF353" i="31" s="1"/>
  <c r="AG353" i="31"/>
  <c r="AE353" i="31"/>
  <c r="AD353" i="31"/>
  <c r="AL353" i="31" s="1"/>
  <c r="AJ352" i="31"/>
  <c r="AI352" i="31"/>
  <c r="AH352" i="31"/>
  <c r="AF352" i="31" s="1"/>
  <c r="AG352" i="31"/>
  <c r="AE352" i="31"/>
  <c r="AD352" i="31"/>
  <c r="AC352" i="31" s="1"/>
  <c r="AJ351" i="31"/>
  <c r="AI351" i="31"/>
  <c r="AH351" i="31"/>
  <c r="AF351" i="31" s="1"/>
  <c r="AG351" i="31"/>
  <c r="AE351" i="31"/>
  <c r="AD351" i="31"/>
  <c r="AL351" i="31" s="1"/>
  <c r="AJ350" i="31"/>
  <c r="AI350" i="31"/>
  <c r="AH350" i="31"/>
  <c r="AF350" i="31" s="1"/>
  <c r="AG350" i="31"/>
  <c r="AE350" i="31"/>
  <c r="AD350" i="31"/>
  <c r="AJ349" i="31"/>
  <c r="AI349" i="31"/>
  <c r="AH349" i="31"/>
  <c r="AF349" i="31" s="1"/>
  <c r="AG349" i="31"/>
  <c r="AE349" i="31"/>
  <c r="AD349" i="31"/>
  <c r="AC349" i="31" s="1"/>
  <c r="AJ348" i="31"/>
  <c r="AI348" i="31"/>
  <c r="AH348" i="31"/>
  <c r="AF348" i="31" s="1"/>
  <c r="AG348" i="31"/>
  <c r="AE348" i="31"/>
  <c r="AD348" i="31"/>
  <c r="AL348" i="31" s="1"/>
  <c r="AJ347" i="31"/>
  <c r="AI347" i="31"/>
  <c r="AH347" i="31"/>
  <c r="AF347" i="31" s="1"/>
  <c r="AG347" i="31"/>
  <c r="AE347" i="31"/>
  <c r="AD347" i="31"/>
  <c r="AJ345" i="31"/>
  <c r="AI345" i="31"/>
  <c r="AH345" i="31"/>
  <c r="AF345" i="31" s="1"/>
  <c r="AG345" i="31"/>
  <c r="AE345" i="31"/>
  <c r="AD345" i="31"/>
  <c r="AL345" i="31" s="1"/>
  <c r="AJ344" i="31"/>
  <c r="AI344" i="31"/>
  <c r="AH344" i="31"/>
  <c r="AF344" i="31" s="1"/>
  <c r="AG344" i="31"/>
  <c r="AE344" i="31"/>
  <c r="AD344" i="31"/>
  <c r="AL344" i="31" s="1"/>
  <c r="AJ341" i="31"/>
  <c r="AI341" i="31"/>
  <c r="AH341" i="31"/>
  <c r="AF341" i="31" s="1"/>
  <c r="AG341" i="31"/>
  <c r="AE341" i="31"/>
  <c r="AD341" i="31"/>
  <c r="AC341" i="31" s="1"/>
  <c r="AJ340" i="31"/>
  <c r="AI340" i="31"/>
  <c r="AH340" i="31"/>
  <c r="AF340" i="31" s="1"/>
  <c r="AG340" i="31"/>
  <c r="AE340" i="31"/>
  <c r="AD340" i="31"/>
  <c r="AL340" i="31" s="1"/>
  <c r="AJ339" i="31"/>
  <c r="AI339" i="31"/>
  <c r="AH339" i="31"/>
  <c r="AF339" i="31" s="1"/>
  <c r="AG339" i="31"/>
  <c r="AE339" i="31"/>
  <c r="AD339" i="31"/>
  <c r="AJ338" i="31"/>
  <c r="AI338" i="31"/>
  <c r="AH338" i="31"/>
  <c r="AF338" i="31" s="1"/>
  <c r="AG338" i="31"/>
  <c r="AE338" i="31"/>
  <c r="AD338" i="31"/>
  <c r="AL338" i="31" s="1"/>
  <c r="AJ337" i="31"/>
  <c r="AI337" i="31"/>
  <c r="AH337" i="31"/>
  <c r="AF337" i="31" s="1"/>
  <c r="AG337" i="31"/>
  <c r="AE337" i="31"/>
  <c r="AD337" i="31"/>
  <c r="AL337" i="31" s="1"/>
  <c r="AJ336" i="31"/>
  <c r="AI336" i="31"/>
  <c r="AH336" i="31"/>
  <c r="AF336" i="31" s="1"/>
  <c r="AG336" i="31"/>
  <c r="AE336" i="31"/>
  <c r="AD336" i="31"/>
  <c r="AL336" i="31" s="1"/>
  <c r="AJ334" i="31"/>
  <c r="AI334" i="31"/>
  <c r="AH334" i="31"/>
  <c r="AF334" i="31" s="1"/>
  <c r="AG334" i="31"/>
  <c r="AE334" i="31"/>
  <c r="AD334" i="31"/>
  <c r="AL334" i="31" s="1"/>
  <c r="AJ333" i="31"/>
  <c r="AI333" i="31"/>
  <c r="AH333" i="31"/>
  <c r="AF333" i="31" s="1"/>
  <c r="AG333" i="31"/>
  <c r="AE333" i="31"/>
  <c r="AD333" i="31"/>
  <c r="AL333" i="31" s="1"/>
  <c r="AJ331" i="31"/>
  <c r="AI331" i="31"/>
  <c r="AH331" i="31"/>
  <c r="AF331" i="31" s="1"/>
  <c r="AG331" i="31"/>
  <c r="AE331" i="31"/>
  <c r="AD331" i="31"/>
  <c r="AL331" i="31" s="1"/>
  <c r="AJ330" i="31"/>
  <c r="AI330" i="31"/>
  <c r="AH330" i="31"/>
  <c r="AF330" i="31" s="1"/>
  <c r="AG330" i="31"/>
  <c r="AE330" i="31"/>
  <c r="AD330" i="31"/>
  <c r="AL330" i="31" s="1"/>
  <c r="AJ329" i="31"/>
  <c r="AI329" i="31"/>
  <c r="AH329" i="31"/>
  <c r="AF329" i="31" s="1"/>
  <c r="AG329" i="31"/>
  <c r="AE329" i="31"/>
  <c r="AD329" i="31"/>
  <c r="AJ328" i="31"/>
  <c r="AI328" i="31"/>
  <c r="AH328" i="31"/>
  <c r="AF328" i="31" s="1"/>
  <c r="AG328" i="31"/>
  <c r="AE328" i="31"/>
  <c r="AD328" i="31"/>
  <c r="AC328" i="31" s="1"/>
  <c r="AJ327" i="31"/>
  <c r="AI327" i="31"/>
  <c r="AH327" i="31"/>
  <c r="AF327" i="31" s="1"/>
  <c r="AG327" i="31"/>
  <c r="AE327" i="31"/>
  <c r="AD327" i="31"/>
  <c r="AL327" i="31" s="1"/>
  <c r="AJ326" i="31"/>
  <c r="AI326" i="31"/>
  <c r="AH326" i="31"/>
  <c r="AF326" i="31" s="1"/>
  <c r="AG326" i="31"/>
  <c r="AE326" i="31"/>
  <c r="AD326" i="31"/>
  <c r="AJ325" i="31"/>
  <c r="AI325" i="31"/>
  <c r="AH325" i="31"/>
  <c r="AF325" i="31" s="1"/>
  <c r="AG325" i="31"/>
  <c r="AE325" i="31"/>
  <c r="AD325" i="31"/>
  <c r="AL325" i="31" s="1"/>
  <c r="AJ323" i="31"/>
  <c r="AI323" i="31"/>
  <c r="AH323" i="31"/>
  <c r="AF323" i="31" s="1"/>
  <c r="AG323" i="31"/>
  <c r="AE323" i="31"/>
  <c r="AD323" i="31"/>
  <c r="AL323" i="31" s="1"/>
  <c r="AJ322" i="31"/>
  <c r="AI322" i="31"/>
  <c r="AH322" i="31"/>
  <c r="AF322" i="31" s="1"/>
  <c r="AG322" i="31"/>
  <c r="AE322" i="31"/>
  <c r="AD322" i="31"/>
  <c r="AL322" i="31" s="1"/>
  <c r="AJ321" i="31"/>
  <c r="AI321" i="31"/>
  <c r="AH321" i="31"/>
  <c r="AF321" i="31" s="1"/>
  <c r="AG321" i="31"/>
  <c r="AE321" i="31"/>
  <c r="AD321" i="31"/>
  <c r="AL321" i="31" s="1"/>
  <c r="AJ318" i="31"/>
  <c r="AI318" i="31"/>
  <c r="AH318" i="31"/>
  <c r="AF318" i="31" s="1"/>
  <c r="AG318" i="31"/>
  <c r="AE318" i="31"/>
  <c r="AD318" i="31"/>
  <c r="AJ317" i="31"/>
  <c r="AI317" i="31"/>
  <c r="AH317" i="31"/>
  <c r="AF317" i="31" s="1"/>
  <c r="AG317" i="31"/>
  <c r="AE317" i="31"/>
  <c r="AD317" i="31"/>
  <c r="AC317" i="31" s="1"/>
  <c r="AJ316" i="31"/>
  <c r="AI316" i="31"/>
  <c r="AH316" i="31"/>
  <c r="AF316" i="31" s="1"/>
  <c r="AG316" i="31"/>
  <c r="AE316" i="31"/>
  <c r="AD316" i="31"/>
  <c r="AL316" i="31" s="1"/>
  <c r="AJ315" i="31"/>
  <c r="AI315" i="31"/>
  <c r="AH315" i="31"/>
  <c r="AF315" i="31" s="1"/>
  <c r="AG315" i="31"/>
  <c r="AE315" i="31"/>
  <c r="AD315" i="31"/>
  <c r="AL315" i="31" s="1"/>
  <c r="AJ314" i="31"/>
  <c r="AI314" i="31"/>
  <c r="AH314" i="31"/>
  <c r="AF314" i="31" s="1"/>
  <c r="AG314" i="31"/>
  <c r="AE314" i="31"/>
  <c r="AD314" i="31"/>
  <c r="AC314" i="31" s="1"/>
  <c r="AJ313" i="31"/>
  <c r="AI313" i="31"/>
  <c r="AH313" i="31"/>
  <c r="AF313" i="31" s="1"/>
  <c r="AG313" i="31"/>
  <c r="AE313" i="31"/>
  <c r="AD313" i="31"/>
  <c r="AL313" i="31" s="1"/>
  <c r="AJ312" i="31"/>
  <c r="AI312" i="31"/>
  <c r="AH312" i="31"/>
  <c r="AF312" i="31" s="1"/>
  <c r="AG312" i="31"/>
  <c r="AE312" i="31"/>
  <c r="AD312" i="31"/>
  <c r="AC312" i="31" s="1"/>
  <c r="AJ311" i="31"/>
  <c r="AI311" i="31"/>
  <c r="AH311" i="31"/>
  <c r="AF311" i="31" s="1"/>
  <c r="AG311" i="31"/>
  <c r="AE311" i="31"/>
  <c r="AD311" i="31"/>
  <c r="AL311" i="31" s="1"/>
  <c r="AJ310" i="31"/>
  <c r="AI310" i="31"/>
  <c r="AH310" i="31"/>
  <c r="AF310" i="31" s="1"/>
  <c r="AG310" i="31"/>
  <c r="AE310" i="31"/>
  <c r="AD310" i="31"/>
  <c r="AJ309" i="31"/>
  <c r="AI309" i="31"/>
  <c r="AH309" i="31"/>
  <c r="AF309" i="31" s="1"/>
  <c r="AG309" i="31"/>
  <c r="AE309" i="31"/>
  <c r="AD309" i="31"/>
  <c r="AC309" i="31" s="1"/>
  <c r="AJ308" i="31"/>
  <c r="AI308" i="31"/>
  <c r="AH308" i="31"/>
  <c r="AF308" i="31" s="1"/>
  <c r="AG308" i="31"/>
  <c r="AE308" i="31"/>
  <c r="AD308" i="31"/>
  <c r="AL308" i="31" s="1"/>
  <c r="AJ307" i="31"/>
  <c r="AI307" i="31"/>
  <c r="AH307" i="31"/>
  <c r="AF307" i="31" s="1"/>
  <c r="AG307" i="31"/>
  <c r="AE307" i="31"/>
  <c r="AD307" i="31"/>
  <c r="AL307" i="31" s="1"/>
  <c r="AJ306" i="31"/>
  <c r="AI306" i="31"/>
  <c r="AH306" i="31"/>
  <c r="AF306" i="31" s="1"/>
  <c r="AG306" i="31"/>
  <c r="AE306" i="31"/>
  <c r="AD306" i="31"/>
  <c r="AC306" i="31" s="1"/>
  <c r="AJ305" i="31"/>
  <c r="AI305" i="31"/>
  <c r="AH305" i="31"/>
  <c r="AF305" i="31" s="1"/>
  <c r="AG305" i="31"/>
  <c r="AE305" i="31"/>
  <c r="AD305" i="31"/>
  <c r="AL305" i="31" s="1"/>
  <c r="AJ304" i="31"/>
  <c r="AI304" i="31"/>
  <c r="AH304" i="31"/>
  <c r="AF304" i="31" s="1"/>
  <c r="AG304" i="31"/>
  <c r="AE304" i="31"/>
  <c r="AD304" i="31"/>
  <c r="AC304" i="31" s="1"/>
  <c r="AJ303" i="31"/>
  <c r="AI303" i="31"/>
  <c r="AH303" i="31"/>
  <c r="AF303" i="31" s="1"/>
  <c r="AG303" i="31"/>
  <c r="AE303" i="31"/>
  <c r="AD303" i="31"/>
  <c r="AL303" i="31" s="1"/>
  <c r="AJ301" i="31"/>
  <c r="AI301" i="31"/>
  <c r="AH301" i="31"/>
  <c r="AF301" i="31" s="1"/>
  <c r="AG301" i="31"/>
  <c r="AE301" i="31"/>
  <c r="AD301" i="31"/>
  <c r="AJ300" i="31"/>
  <c r="AI300" i="31"/>
  <c r="AH300" i="31"/>
  <c r="AF300" i="31" s="1"/>
  <c r="AG300" i="31"/>
  <c r="AE300" i="31"/>
  <c r="AD300" i="31"/>
  <c r="AL300" i="31" s="1"/>
  <c r="AJ297" i="31"/>
  <c r="AI297" i="31"/>
  <c r="AH297" i="31"/>
  <c r="AF297" i="31" s="1"/>
  <c r="AG297" i="31"/>
  <c r="AE297" i="31"/>
  <c r="AD297" i="31"/>
  <c r="AL297" i="31" s="1"/>
  <c r="AJ296" i="31"/>
  <c r="AI296" i="31"/>
  <c r="AH296" i="31"/>
  <c r="AF296" i="31" s="1"/>
  <c r="AG296" i="31"/>
  <c r="AE296" i="31"/>
  <c r="AD296" i="31"/>
  <c r="AL296" i="31" s="1"/>
  <c r="AJ295" i="31"/>
  <c r="AI295" i="31"/>
  <c r="AH295" i="31"/>
  <c r="AF295" i="31" s="1"/>
  <c r="AG295" i="31"/>
  <c r="AE295" i="31"/>
  <c r="AD295" i="31"/>
  <c r="AL295" i="31" s="1"/>
  <c r="AJ294" i="31"/>
  <c r="AI294" i="31"/>
  <c r="AH294" i="31"/>
  <c r="AF294" i="31" s="1"/>
  <c r="AG294" i="31"/>
  <c r="AE294" i="31"/>
  <c r="AD294" i="31"/>
  <c r="AL294" i="31" s="1"/>
  <c r="AJ293" i="31"/>
  <c r="AI293" i="31"/>
  <c r="AH293" i="31"/>
  <c r="AF293" i="31" s="1"/>
  <c r="AG293" i="31"/>
  <c r="AE293" i="31"/>
  <c r="AD293" i="31"/>
  <c r="AC293" i="31" s="1"/>
  <c r="AJ292" i="31"/>
  <c r="AI292" i="31"/>
  <c r="AH292" i="31"/>
  <c r="AF292" i="31" s="1"/>
  <c r="AG292" i="31"/>
  <c r="AE292" i="31"/>
  <c r="AD292" i="31"/>
  <c r="AL292" i="31" s="1"/>
  <c r="AJ291" i="31"/>
  <c r="AI291" i="31"/>
  <c r="AH291" i="31"/>
  <c r="AF291" i="31" s="1"/>
  <c r="AG291" i="31"/>
  <c r="AE291" i="31"/>
  <c r="AD291" i="31"/>
  <c r="AJ290" i="31"/>
  <c r="AI290" i="31"/>
  <c r="AH290" i="31"/>
  <c r="AF290" i="31" s="1"/>
  <c r="AG290" i="31"/>
  <c r="AE290" i="31"/>
  <c r="AD290" i="31"/>
  <c r="AL290" i="31" s="1"/>
  <c r="AJ289" i="31"/>
  <c r="AI289" i="31"/>
  <c r="AH289" i="31"/>
  <c r="AF289" i="31" s="1"/>
  <c r="AG289" i="31"/>
  <c r="AE289" i="31"/>
  <c r="AD289" i="31"/>
  <c r="AL289" i="31" s="1"/>
  <c r="AJ288" i="31"/>
  <c r="AI288" i="31"/>
  <c r="AH288" i="31"/>
  <c r="AF288" i="31" s="1"/>
  <c r="AG288" i="31"/>
  <c r="AE288" i="31"/>
  <c r="AD288" i="31"/>
  <c r="AJ287" i="31"/>
  <c r="AI287" i="31"/>
  <c r="AH287" i="31"/>
  <c r="AF287" i="31" s="1"/>
  <c r="AG287" i="31"/>
  <c r="AE287" i="31"/>
  <c r="AD287" i="31"/>
  <c r="AL287" i="31" s="1"/>
  <c r="AJ286" i="31"/>
  <c r="AI286" i="31"/>
  <c r="AH286" i="31"/>
  <c r="AF286" i="31" s="1"/>
  <c r="AG286" i="31"/>
  <c r="AE286" i="31"/>
  <c r="AD286" i="31"/>
  <c r="AL286" i="31" s="1"/>
  <c r="AJ285" i="31"/>
  <c r="AI285" i="31"/>
  <c r="AH285" i="31"/>
  <c r="AF285" i="31" s="1"/>
  <c r="AG285" i="31"/>
  <c r="AE285" i="31"/>
  <c r="AD285" i="31"/>
  <c r="AL285" i="31" s="1"/>
  <c r="AJ284" i="31"/>
  <c r="AI284" i="31"/>
  <c r="AH284" i="31"/>
  <c r="AF284" i="31" s="1"/>
  <c r="AG284" i="31"/>
  <c r="AE284" i="31"/>
  <c r="AD284" i="31"/>
  <c r="AL284" i="31" s="1"/>
  <c r="AJ283" i="31"/>
  <c r="AI283" i="31"/>
  <c r="AH283" i="31"/>
  <c r="AF283" i="31" s="1"/>
  <c r="AG283" i="31"/>
  <c r="AE283" i="31"/>
  <c r="AD283" i="31"/>
  <c r="AJ281" i="31"/>
  <c r="AI281" i="31"/>
  <c r="AH281" i="31"/>
  <c r="AF281" i="31" s="1"/>
  <c r="AG281" i="31"/>
  <c r="AE281" i="31"/>
  <c r="AD281" i="31"/>
  <c r="AC281" i="31" s="1"/>
  <c r="AJ280" i="31"/>
  <c r="AI280" i="31"/>
  <c r="AH280" i="31"/>
  <c r="AF280" i="31" s="1"/>
  <c r="AG280" i="31"/>
  <c r="AE280" i="31"/>
  <c r="AD280" i="31"/>
  <c r="AJ279" i="31"/>
  <c r="AI279" i="31"/>
  <c r="AH279" i="31"/>
  <c r="AF279" i="31" s="1"/>
  <c r="AG279" i="31"/>
  <c r="AE279" i="31"/>
  <c r="AD279" i="31"/>
  <c r="AJ278" i="31"/>
  <c r="AI278" i="31"/>
  <c r="AH278" i="31"/>
  <c r="AF278" i="31" s="1"/>
  <c r="AG278" i="31"/>
  <c r="AE278" i="31"/>
  <c r="AD278" i="31"/>
  <c r="AL278" i="31" s="1"/>
  <c r="AJ277" i="31"/>
  <c r="AI277" i="31"/>
  <c r="AH277" i="31"/>
  <c r="AF277" i="31" s="1"/>
  <c r="AG277" i="31"/>
  <c r="AE277" i="31"/>
  <c r="AD277" i="31"/>
  <c r="AL277" i="31" s="1"/>
  <c r="AJ276" i="31"/>
  <c r="AI276" i="31"/>
  <c r="AH276" i="31"/>
  <c r="AF276" i="31" s="1"/>
  <c r="AG276" i="31"/>
  <c r="AE276" i="31"/>
  <c r="AD276" i="31"/>
  <c r="AL276" i="31" s="1"/>
  <c r="AJ274" i="31"/>
  <c r="AI274" i="31"/>
  <c r="AH274" i="31"/>
  <c r="AF274" i="31" s="1"/>
  <c r="AG274" i="31"/>
  <c r="AE274" i="31"/>
  <c r="AD274" i="31"/>
  <c r="AJ272" i="31"/>
  <c r="AI272" i="31"/>
  <c r="AH272" i="31"/>
  <c r="AF272" i="31" s="1"/>
  <c r="AG272" i="31"/>
  <c r="AE272" i="31"/>
  <c r="AD272" i="31"/>
  <c r="AJ271" i="31"/>
  <c r="AI271" i="31"/>
  <c r="AH271" i="31"/>
  <c r="AF271" i="31" s="1"/>
  <c r="AG271" i="31"/>
  <c r="AE271" i="31"/>
  <c r="AD271" i="31"/>
  <c r="AC271" i="31" s="1"/>
  <c r="AJ270" i="31"/>
  <c r="AI270" i="31"/>
  <c r="AH270" i="31"/>
  <c r="AF270" i="31" s="1"/>
  <c r="AG270" i="31"/>
  <c r="AE270" i="31"/>
  <c r="AD270" i="31"/>
  <c r="AL270" i="31" s="1"/>
  <c r="AJ269" i="31"/>
  <c r="AI269" i="31"/>
  <c r="AH269" i="31"/>
  <c r="AF269" i="31" s="1"/>
  <c r="AG269" i="31"/>
  <c r="AE269" i="31"/>
  <c r="AD269" i="31"/>
  <c r="AL269" i="31" s="1"/>
  <c r="AJ268" i="31"/>
  <c r="AI268" i="31"/>
  <c r="AH268" i="31"/>
  <c r="AF268" i="31" s="1"/>
  <c r="AG268" i="31"/>
  <c r="AE268" i="31"/>
  <c r="AD268" i="31"/>
  <c r="AC268" i="31" s="1"/>
  <c r="AJ267" i="31"/>
  <c r="AI267" i="31"/>
  <c r="AH267" i="31"/>
  <c r="AF267" i="31" s="1"/>
  <c r="AG267" i="31"/>
  <c r="AE267" i="31"/>
  <c r="AD267" i="31"/>
  <c r="AL267" i="31" s="1"/>
  <c r="AJ266" i="31"/>
  <c r="AI266" i="31"/>
  <c r="AH266" i="31"/>
  <c r="AF266" i="31" s="1"/>
  <c r="AG266" i="31"/>
  <c r="AE266" i="31"/>
  <c r="AD266" i="31"/>
  <c r="AC266" i="31" s="1"/>
  <c r="AJ265" i="31"/>
  <c r="AI265" i="31"/>
  <c r="AH265" i="31"/>
  <c r="AF265" i="31" s="1"/>
  <c r="AG265" i="31"/>
  <c r="AE265" i="31"/>
  <c r="AD265" i="31"/>
  <c r="AL265" i="31" s="1"/>
  <c r="AJ264" i="31"/>
  <c r="AI264" i="31"/>
  <c r="AH264" i="31"/>
  <c r="AF264" i="31" s="1"/>
  <c r="AG264" i="31"/>
  <c r="AE264" i="31"/>
  <c r="AD264" i="31"/>
  <c r="AJ263" i="31"/>
  <c r="AI263" i="31"/>
  <c r="AH263" i="31"/>
  <c r="AF263" i="31" s="1"/>
  <c r="AG263" i="31"/>
  <c r="AE263" i="31"/>
  <c r="AD263" i="31"/>
  <c r="AC263" i="31" s="1"/>
  <c r="AJ262" i="31"/>
  <c r="AI262" i="31"/>
  <c r="AH262" i="31"/>
  <c r="AF262" i="31" s="1"/>
  <c r="AG262" i="31"/>
  <c r="AE262" i="31"/>
  <c r="AD262" i="31"/>
  <c r="AJ261" i="31"/>
  <c r="AI261" i="31"/>
  <c r="AH261" i="31"/>
  <c r="AF261" i="31" s="1"/>
  <c r="AG261" i="31"/>
  <c r="AE261" i="31"/>
  <c r="AD261" i="31"/>
  <c r="AL261" i="31" s="1"/>
  <c r="AJ260" i="31"/>
  <c r="AI260" i="31"/>
  <c r="AH260" i="31"/>
  <c r="AF260" i="31" s="1"/>
  <c r="AG260" i="31"/>
  <c r="AE260" i="31"/>
  <c r="AD260" i="31"/>
  <c r="AC260" i="31" s="1"/>
  <c r="AJ259" i="31"/>
  <c r="AI259" i="31"/>
  <c r="AH259" i="31"/>
  <c r="AF259" i="31" s="1"/>
  <c r="AG259" i="31"/>
  <c r="AE259" i="31"/>
  <c r="AD259" i="31"/>
  <c r="AJ258" i="31"/>
  <c r="AI258" i="31"/>
  <c r="AH258" i="31"/>
  <c r="AF258" i="31" s="1"/>
  <c r="AG258" i="31"/>
  <c r="AE258" i="31"/>
  <c r="AD258" i="31"/>
  <c r="AJ255" i="31"/>
  <c r="AI255" i="31"/>
  <c r="AH255" i="31"/>
  <c r="AF255" i="31" s="1"/>
  <c r="AG255" i="31"/>
  <c r="AE255" i="31"/>
  <c r="AD255" i="31"/>
  <c r="AL255" i="31" s="1"/>
  <c r="AJ254" i="31"/>
  <c r="AI254" i="31"/>
  <c r="AH254" i="31"/>
  <c r="AF254" i="31" s="1"/>
  <c r="AG254" i="31"/>
  <c r="AE254" i="31"/>
  <c r="AD254" i="31"/>
  <c r="AJ253" i="31"/>
  <c r="AI253" i="31"/>
  <c r="AH253" i="31"/>
  <c r="AF253" i="31" s="1"/>
  <c r="AG253" i="31"/>
  <c r="AE253" i="31"/>
  <c r="AD253" i="31"/>
  <c r="AL253" i="31" s="1"/>
  <c r="AJ252" i="31"/>
  <c r="AI252" i="31"/>
  <c r="AH252" i="31"/>
  <c r="AF252" i="31" s="1"/>
  <c r="AG252" i="31"/>
  <c r="AE252" i="31"/>
  <c r="AD252" i="31"/>
  <c r="AL252" i="31" s="1"/>
  <c r="AJ251" i="31"/>
  <c r="AI251" i="31"/>
  <c r="AH251" i="31"/>
  <c r="AF251" i="31" s="1"/>
  <c r="AG251" i="31"/>
  <c r="AE251" i="31"/>
  <c r="AD251" i="31"/>
  <c r="AC251" i="31" s="1"/>
  <c r="AJ250" i="31"/>
  <c r="AI250" i="31"/>
  <c r="AH250" i="31"/>
  <c r="AF250" i="31" s="1"/>
  <c r="AG250" i="31"/>
  <c r="AE250" i="31"/>
  <c r="AD250" i="31"/>
  <c r="AL250" i="31" s="1"/>
  <c r="AJ249" i="31"/>
  <c r="AI249" i="31"/>
  <c r="AH249" i="31"/>
  <c r="AF249" i="31" s="1"/>
  <c r="AG249" i="31"/>
  <c r="AE249" i="31"/>
  <c r="AD249" i="31"/>
  <c r="AL249" i="31" s="1"/>
  <c r="AJ248" i="31"/>
  <c r="AI248" i="31"/>
  <c r="AH248" i="31"/>
  <c r="AF248" i="31" s="1"/>
  <c r="AG248" i="31"/>
  <c r="AE248" i="31"/>
  <c r="AD248" i="31"/>
  <c r="AL248" i="31" s="1"/>
  <c r="AJ247" i="31"/>
  <c r="AI247" i="31"/>
  <c r="AH247" i="31"/>
  <c r="AF247" i="31" s="1"/>
  <c r="AG247" i="31"/>
  <c r="AE247" i="31"/>
  <c r="AD247" i="31"/>
  <c r="AL247" i="31" s="1"/>
  <c r="AJ246" i="31"/>
  <c r="AI246" i="31"/>
  <c r="AH246" i="31"/>
  <c r="AF246" i="31" s="1"/>
  <c r="AG246" i="31"/>
  <c r="AE246" i="31"/>
  <c r="AD246" i="31"/>
  <c r="AJ245" i="31"/>
  <c r="AI245" i="31"/>
  <c r="AH245" i="31"/>
  <c r="AF245" i="31" s="1"/>
  <c r="AG245" i="31"/>
  <c r="AE245" i="31"/>
  <c r="AD245" i="31"/>
  <c r="AJ244" i="31"/>
  <c r="AI244" i="31"/>
  <c r="AH244" i="31"/>
  <c r="AF244" i="31" s="1"/>
  <c r="AG244" i="31"/>
  <c r="AE244" i="31"/>
  <c r="AD244" i="31"/>
  <c r="AL244" i="31" s="1"/>
  <c r="AJ243" i="31"/>
  <c r="AI243" i="31"/>
  <c r="AH243" i="31"/>
  <c r="AF243" i="31" s="1"/>
  <c r="AG243" i="31"/>
  <c r="AE243" i="31"/>
  <c r="AD243" i="31"/>
  <c r="AJ242" i="31"/>
  <c r="AI242" i="31"/>
  <c r="AH242" i="31"/>
  <c r="AF242" i="31" s="1"/>
  <c r="AG242" i="31"/>
  <c r="AE242" i="31"/>
  <c r="AD242" i="31"/>
  <c r="AL242" i="31" s="1"/>
  <c r="AJ240" i="31"/>
  <c r="AI240" i="31"/>
  <c r="AH240" i="31"/>
  <c r="AF240" i="31" s="1"/>
  <c r="AG240" i="31"/>
  <c r="AE240" i="31"/>
  <c r="AD240" i="31"/>
  <c r="AL240" i="31" s="1"/>
  <c r="AJ239" i="31"/>
  <c r="AI239" i="31"/>
  <c r="AH239" i="31"/>
  <c r="AF239" i="31" s="1"/>
  <c r="AG239" i="31"/>
  <c r="AE239" i="31"/>
  <c r="AD239" i="31"/>
  <c r="AC239" i="31" s="1"/>
  <c r="AJ238" i="31"/>
  <c r="AI238" i="31"/>
  <c r="AH238" i="31"/>
  <c r="AF238" i="31" s="1"/>
  <c r="AG238" i="31"/>
  <c r="AE238" i="31"/>
  <c r="AD238" i="31"/>
  <c r="AL238" i="31" s="1"/>
  <c r="AJ237" i="31"/>
  <c r="AI237" i="31"/>
  <c r="AH237" i="31"/>
  <c r="AF237" i="31" s="1"/>
  <c r="AG237" i="31"/>
  <c r="AE237" i="31"/>
  <c r="AD237" i="31"/>
  <c r="AJ235" i="31"/>
  <c r="AI235" i="31"/>
  <c r="AH235" i="31"/>
  <c r="AF235" i="31" s="1"/>
  <c r="AG235" i="31"/>
  <c r="AE235" i="31"/>
  <c r="AD235" i="31"/>
  <c r="AC235" i="31" s="1"/>
  <c r="AJ234" i="31"/>
  <c r="AI234" i="31"/>
  <c r="AH234" i="31"/>
  <c r="AF234" i="31" s="1"/>
  <c r="AG234" i="31"/>
  <c r="AE234" i="31"/>
  <c r="AD234" i="31"/>
  <c r="AL234" i="31" s="1"/>
  <c r="AJ233" i="31"/>
  <c r="AI233" i="31"/>
  <c r="AH233" i="31"/>
  <c r="AF233" i="31" s="1"/>
  <c r="AG233" i="31"/>
  <c r="AE233" i="31"/>
  <c r="AD233" i="31"/>
  <c r="AL233" i="31" s="1"/>
  <c r="AJ232" i="31"/>
  <c r="AI232" i="31"/>
  <c r="AH232" i="31"/>
  <c r="AF232" i="31" s="1"/>
  <c r="AG232" i="31"/>
  <c r="AE232" i="31"/>
  <c r="AD232" i="31"/>
  <c r="AL232" i="31" s="1"/>
  <c r="AJ231" i="31"/>
  <c r="AI231" i="31"/>
  <c r="AH231" i="31"/>
  <c r="AF231" i="31" s="1"/>
  <c r="AG231" i="31"/>
  <c r="AE231" i="31"/>
  <c r="AD231" i="31"/>
  <c r="AL231" i="31" s="1"/>
  <c r="AJ230" i="31"/>
  <c r="AI230" i="31"/>
  <c r="AH230" i="31"/>
  <c r="AF230" i="31" s="1"/>
  <c r="AG230" i="31"/>
  <c r="AE230" i="31"/>
  <c r="AD230" i="31"/>
  <c r="AC230" i="31" s="1"/>
  <c r="AJ229" i="31"/>
  <c r="AI229" i="31"/>
  <c r="AH229" i="31"/>
  <c r="AF229" i="31" s="1"/>
  <c r="AG229" i="31"/>
  <c r="AE229" i="31"/>
  <c r="AD229" i="31"/>
  <c r="AC229" i="31" s="1"/>
  <c r="AJ228" i="31"/>
  <c r="AI228" i="31"/>
  <c r="AH228" i="31"/>
  <c r="AF228" i="31" s="1"/>
  <c r="AG228" i="31"/>
  <c r="AE228" i="31"/>
  <c r="AD228" i="31"/>
  <c r="AC228" i="31" s="1"/>
  <c r="AJ226" i="31"/>
  <c r="AI226" i="31"/>
  <c r="AH226" i="31"/>
  <c r="AF226" i="31" s="1"/>
  <c r="AG226" i="31"/>
  <c r="AE226" i="31"/>
  <c r="AD226" i="31"/>
  <c r="AL226" i="31" s="1"/>
  <c r="AJ225" i="31"/>
  <c r="AI225" i="31"/>
  <c r="AH225" i="31"/>
  <c r="AF225" i="31" s="1"/>
  <c r="AG225" i="31"/>
  <c r="AE225" i="31"/>
  <c r="AD225" i="31"/>
  <c r="AL225" i="31" s="1"/>
  <c r="AJ224" i="31"/>
  <c r="AI224" i="31"/>
  <c r="AH224" i="31"/>
  <c r="AF224" i="31" s="1"/>
  <c r="AG224" i="31"/>
  <c r="AE224" i="31"/>
  <c r="AD224" i="31"/>
  <c r="AL224" i="31" s="1"/>
  <c r="AJ223" i="31"/>
  <c r="AI223" i="31"/>
  <c r="AH223" i="31"/>
  <c r="AF223" i="31" s="1"/>
  <c r="AG223" i="31"/>
  <c r="AE223" i="31"/>
  <c r="AD223" i="31"/>
  <c r="AJ222" i="31"/>
  <c r="AI222" i="31"/>
  <c r="AH222" i="31"/>
  <c r="AF222" i="31" s="1"/>
  <c r="AG222" i="31"/>
  <c r="AE222" i="31"/>
  <c r="AD222" i="31"/>
  <c r="AL222" i="31" s="1"/>
  <c r="AJ221" i="31"/>
  <c r="AI221" i="31"/>
  <c r="AH221" i="31"/>
  <c r="AF221" i="31" s="1"/>
  <c r="AG221" i="31"/>
  <c r="AE221" i="31"/>
  <c r="AD221" i="31"/>
  <c r="AJ220" i="31"/>
  <c r="AI220" i="31"/>
  <c r="AH220" i="31"/>
  <c r="AF220" i="31" s="1"/>
  <c r="AG220" i="31"/>
  <c r="AE220" i="31"/>
  <c r="AD220" i="31"/>
  <c r="AC220" i="31" s="1"/>
  <c r="AJ219" i="31"/>
  <c r="AI219" i="31"/>
  <c r="AH219" i="31"/>
  <c r="AF219" i="31" s="1"/>
  <c r="AG219" i="31"/>
  <c r="AE219" i="31"/>
  <c r="AD219" i="31"/>
  <c r="AL219" i="31" s="1"/>
  <c r="AJ218" i="31"/>
  <c r="AI218" i="31"/>
  <c r="AH218" i="31"/>
  <c r="AF218" i="31" s="1"/>
  <c r="AG218" i="31"/>
  <c r="AE218" i="31"/>
  <c r="AD218" i="31"/>
  <c r="AL218" i="31" s="1"/>
  <c r="AJ217" i="31"/>
  <c r="AI217" i="31"/>
  <c r="AH217" i="31"/>
  <c r="AF217" i="31" s="1"/>
  <c r="AG217" i="31"/>
  <c r="AE217" i="31"/>
  <c r="AD217" i="31"/>
  <c r="AC217" i="31" s="1"/>
  <c r="AJ216" i="31"/>
  <c r="AI216" i="31"/>
  <c r="AH216" i="31"/>
  <c r="AF216" i="31" s="1"/>
  <c r="AG216" i="31"/>
  <c r="AE216" i="31"/>
  <c r="AD216" i="31"/>
  <c r="AL216" i="31" s="1"/>
  <c r="AJ215" i="31"/>
  <c r="AI215" i="31"/>
  <c r="AH215" i="31"/>
  <c r="AF215" i="31" s="1"/>
  <c r="AG215" i="31"/>
  <c r="AE215" i="31"/>
  <c r="AD215" i="31"/>
  <c r="AC215" i="31" s="1"/>
  <c r="AJ213" i="31"/>
  <c r="AI213" i="31"/>
  <c r="AH213" i="31"/>
  <c r="AF213" i="31" s="1"/>
  <c r="AG213" i="31"/>
  <c r="AE213" i="31"/>
  <c r="AD213" i="31"/>
  <c r="AL213" i="31" s="1"/>
  <c r="AJ212" i="31"/>
  <c r="AI212" i="31"/>
  <c r="AH212" i="31"/>
  <c r="AF212" i="31" s="1"/>
  <c r="AG212" i="31"/>
  <c r="AE212" i="31"/>
  <c r="AD212" i="31"/>
  <c r="AL212" i="31" s="1"/>
  <c r="AJ211" i="31"/>
  <c r="AI211" i="31"/>
  <c r="AH211" i="31"/>
  <c r="AF211" i="31" s="1"/>
  <c r="AG211" i="31"/>
  <c r="AE211" i="31"/>
  <c r="AD211" i="31"/>
  <c r="AC211" i="31" s="1"/>
  <c r="AJ210" i="31"/>
  <c r="AI210" i="31"/>
  <c r="AH210" i="31"/>
  <c r="AF210" i="31" s="1"/>
  <c r="AG210" i="31"/>
  <c r="AE210" i="31"/>
  <c r="AD210" i="31"/>
  <c r="AL210" i="31" s="1"/>
  <c r="AJ209" i="31"/>
  <c r="AI209" i="31"/>
  <c r="AH209" i="31"/>
  <c r="AF209" i="31" s="1"/>
  <c r="AG209" i="31"/>
  <c r="AE209" i="31"/>
  <c r="AD209" i="31"/>
  <c r="AL209" i="31" s="1"/>
  <c r="AJ208" i="31"/>
  <c r="AI208" i="31"/>
  <c r="AH208" i="31"/>
  <c r="AF208" i="31" s="1"/>
  <c r="AG208" i="31"/>
  <c r="AE208" i="31"/>
  <c r="AD208" i="31"/>
  <c r="AC208" i="31" s="1"/>
  <c r="AJ207" i="31"/>
  <c r="AI207" i="31"/>
  <c r="AH207" i="31"/>
  <c r="AF207" i="31" s="1"/>
  <c r="AG207" i="31"/>
  <c r="AE207" i="31"/>
  <c r="AD207" i="31"/>
  <c r="AL207" i="31" s="1"/>
  <c r="AJ206" i="31"/>
  <c r="AI206" i="31"/>
  <c r="AH206" i="31"/>
  <c r="AF206" i="31" s="1"/>
  <c r="AG206" i="31"/>
  <c r="AE206" i="31"/>
  <c r="AD206" i="31"/>
  <c r="AL206" i="31" s="1"/>
  <c r="AJ205" i="31"/>
  <c r="AI205" i="31"/>
  <c r="AH205" i="31"/>
  <c r="AF205" i="31" s="1"/>
  <c r="AG205" i="31"/>
  <c r="AE205" i="31"/>
  <c r="AD205" i="31"/>
  <c r="AL205" i="31" s="1"/>
  <c r="AJ204" i="31"/>
  <c r="AI204" i="31"/>
  <c r="AH204" i="31"/>
  <c r="AF204" i="31" s="1"/>
  <c r="AG204" i="31"/>
  <c r="AE204" i="31"/>
  <c r="AD204" i="31"/>
  <c r="AC204" i="31" s="1"/>
  <c r="AJ203" i="31"/>
  <c r="AI203" i="31"/>
  <c r="AH203" i="31"/>
  <c r="AF203" i="31" s="1"/>
  <c r="AG203" i="31"/>
  <c r="AE203" i="31"/>
  <c r="AD203" i="31"/>
  <c r="AC203" i="31" s="1"/>
  <c r="AJ202" i="31"/>
  <c r="AI202" i="31"/>
  <c r="AH202" i="31"/>
  <c r="AF202" i="31" s="1"/>
  <c r="AG202" i="31"/>
  <c r="AE202" i="31"/>
  <c r="AD202" i="31"/>
  <c r="AL202" i="31" s="1"/>
  <c r="AJ201" i="31"/>
  <c r="AI201" i="31"/>
  <c r="AH201" i="31"/>
  <c r="AF201" i="31" s="1"/>
  <c r="AG201" i="31"/>
  <c r="AE201" i="31"/>
  <c r="AD201" i="31"/>
  <c r="AL201" i="31" s="1"/>
  <c r="AJ200" i="31"/>
  <c r="AI200" i="31"/>
  <c r="AH200" i="31"/>
  <c r="AF200" i="31" s="1"/>
  <c r="AG200" i="31"/>
  <c r="AE200" i="31"/>
  <c r="AD200" i="31"/>
  <c r="AC200" i="31" s="1"/>
  <c r="AJ199" i="31"/>
  <c r="AI199" i="31"/>
  <c r="AH199" i="31"/>
  <c r="AF199" i="31" s="1"/>
  <c r="AG199" i="31"/>
  <c r="AE199" i="31"/>
  <c r="AD199" i="31"/>
  <c r="AL199" i="31" s="1"/>
  <c r="AJ198" i="31"/>
  <c r="AI198" i="31"/>
  <c r="AH198" i="31"/>
  <c r="AF198" i="31" s="1"/>
  <c r="AG198" i="31"/>
  <c r="AE198" i="31"/>
  <c r="AD198" i="31"/>
  <c r="AC198" i="31" s="1"/>
  <c r="AJ197" i="31"/>
  <c r="AI197" i="31"/>
  <c r="AH197" i="31"/>
  <c r="AF197" i="31" s="1"/>
  <c r="AG197" i="31"/>
  <c r="AE197" i="31"/>
  <c r="AD197" i="31"/>
  <c r="AL197" i="31" s="1"/>
  <c r="AJ196" i="31"/>
  <c r="AI196" i="31"/>
  <c r="AH196" i="31"/>
  <c r="AF196" i="31" s="1"/>
  <c r="AG196" i="31"/>
  <c r="AE196" i="31"/>
  <c r="AD196" i="31"/>
  <c r="AL196" i="31" s="1"/>
  <c r="AJ195" i="31"/>
  <c r="AI195" i="31"/>
  <c r="AH195" i="31"/>
  <c r="AF195" i="31" s="1"/>
  <c r="AG195" i="31"/>
  <c r="AE195" i="31"/>
  <c r="AD195" i="31"/>
  <c r="AC195" i="31" s="1"/>
  <c r="AJ194" i="31"/>
  <c r="AI194" i="31"/>
  <c r="AH194" i="31"/>
  <c r="AF194" i="31" s="1"/>
  <c r="AG194" i="31"/>
  <c r="AE194" i="31"/>
  <c r="AD194" i="31"/>
  <c r="AL194" i="31" s="1"/>
  <c r="AJ192" i="31"/>
  <c r="AI192" i="31"/>
  <c r="AH192" i="31"/>
  <c r="AF192" i="31" s="1"/>
  <c r="AG192" i="31"/>
  <c r="AE192" i="31"/>
  <c r="AD192" i="31"/>
  <c r="AJ191" i="31"/>
  <c r="AI191" i="31"/>
  <c r="AH191" i="31"/>
  <c r="AF191" i="31" s="1"/>
  <c r="AG191" i="31"/>
  <c r="AE191" i="31"/>
  <c r="AD191" i="31"/>
  <c r="AC191" i="31" s="1"/>
  <c r="AJ189" i="31"/>
  <c r="AI189" i="31"/>
  <c r="AH189" i="31"/>
  <c r="AF189" i="31" s="1"/>
  <c r="AG189" i="31"/>
  <c r="AE189" i="31"/>
  <c r="AD189" i="31"/>
  <c r="AL189" i="31" s="1"/>
  <c r="AJ188" i="31"/>
  <c r="AI188" i="31"/>
  <c r="AH188" i="31"/>
  <c r="AF188" i="31" s="1"/>
  <c r="AG188" i="31"/>
  <c r="AE188" i="31"/>
  <c r="AD188" i="31"/>
  <c r="AC188" i="31" s="1"/>
  <c r="AJ187" i="31"/>
  <c r="AI187" i="31"/>
  <c r="AH187" i="31"/>
  <c r="AF187" i="31" s="1"/>
  <c r="AG187" i="31"/>
  <c r="AE187" i="31"/>
  <c r="AD187" i="31"/>
  <c r="AL187" i="31" s="1"/>
  <c r="AJ186" i="31"/>
  <c r="AI186" i="31"/>
  <c r="AH186" i="31"/>
  <c r="AF186" i="31" s="1"/>
  <c r="AG186" i="31"/>
  <c r="AE186" i="31"/>
  <c r="AD186" i="31"/>
  <c r="AL186" i="31" s="1"/>
  <c r="AJ185" i="31"/>
  <c r="AI185" i="31"/>
  <c r="AH185" i="31"/>
  <c r="AF185" i="31" s="1"/>
  <c r="AG185" i="31"/>
  <c r="AE185" i="31"/>
  <c r="AD185" i="31"/>
  <c r="AC185" i="31" s="1"/>
  <c r="AJ183" i="31"/>
  <c r="AI183" i="31"/>
  <c r="AH183" i="31"/>
  <c r="AF183" i="31" s="1"/>
  <c r="AG183" i="31"/>
  <c r="AE183" i="31"/>
  <c r="AD183" i="31"/>
  <c r="AL183" i="31" s="1"/>
  <c r="AJ182" i="31"/>
  <c r="AI182" i="31"/>
  <c r="AH182" i="31"/>
  <c r="AF182" i="31" s="1"/>
  <c r="AG182" i="31"/>
  <c r="AE182" i="31"/>
  <c r="AD182" i="31"/>
  <c r="AL182" i="31" s="1"/>
  <c r="AJ181" i="31"/>
  <c r="AI181" i="31"/>
  <c r="AH181" i="31"/>
  <c r="AF181" i="31" s="1"/>
  <c r="AG181" i="31"/>
  <c r="AE181" i="31"/>
  <c r="AD181" i="31"/>
  <c r="AC181" i="31" s="1"/>
  <c r="AJ180" i="31"/>
  <c r="AI180" i="31"/>
  <c r="AH180" i="31"/>
  <c r="AF180" i="31" s="1"/>
  <c r="AG180" i="31"/>
  <c r="AE180" i="31"/>
  <c r="AD180" i="31"/>
  <c r="AL180" i="31" s="1"/>
  <c r="AJ179" i="31"/>
  <c r="AI179" i="31"/>
  <c r="AH179" i="31"/>
  <c r="AF179" i="31" s="1"/>
  <c r="AG179" i="31"/>
  <c r="AE179" i="31"/>
  <c r="AD179" i="31"/>
  <c r="AC179" i="31" s="1"/>
  <c r="AJ178" i="31"/>
  <c r="AI178" i="31"/>
  <c r="AH178" i="31"/>
  <c r="AF178" i="31" s="1"/>
  <c r="AG178" i="31"/>
  <c r="AE178" i="31"/>
  <c r="AD178" i="31"/>
  <c r="AL178" i="31" s="1"/>
  <c r="AJ176" i="31"/>
  <c r="AI176" i="31"/>
  <c r="AH176" i="31"/>
  <c r="AF176" i="31" s="1"/>
  <c r="AG176" i="31"/>
  <c r="AE176" i="31"/>
  <c r="AD176" i="31"/>
  <c r="AL176" i="31" s="1"/>
  <c r="AJ175" i="31"/>
  <c r="AI175" i="31"/>
  <c r="AH175" i="31"/>
  <c r="AF175" i="31" s="1"/>
  <c r="AG175" i="31"/>
  <c r="AE175" i="31"/>
  <c r="AD175" i="31"/>
  <c r="AC175" i="31" s="1"/>
  <c r="AJ174" i="31"/>
  <c r="AI174" i="31"/>
  <c r="AH174" i="31"/>
  <c r="AF174" i="31" s="1"/>
  <c r="AG174" i="31"/>
  <c r="AE174" i="31"/>
  <c r="AD174" i="31"/>
  <c r="AL174" i="31" s="1"/>
  <c r="AJ173" i="31"/>
  <c r="AI173" i="31"/>
  <c r="AH173" i="31"/>
  <c r="AF173" i="31" s="1"/>
  <c r="AG173" i="31"/>
  <c r="AE173" i="31"/>
  <c r="AD173" i="31"/>
  <c r="AL173" i="31" s="1"/>
  <c r="AJ172" i="31"/>
  <c r="AI172" i="31"/>
  <c r="AH172" i="31"/>
  <c r="AF172" i="31" s="1"/>
  <c r="AG172" i="31"/>
  <c r="AE172" i="31"/>
  <c r="AD172" i="31"/>
  <c r="AC172" i="31" s="1"/>
  <c r="AJ171" i="31"/>
  <c r="AI171" i="31"/>
  <c r="AH171" i="31"/>
  <c r="AF171" i="31" s="1"/>
  <c r="AG171" i="31"/>
  <c r="AE171" i="31"/>
  <c r="AD171" i="31"/>
  <c r="AJ170" i="31"/>
  <c r="AI170" i="31"/>
  <c r="AH170" i="31"/>
  <c r="AF170" i="31" s="1"/>
  <c r="AG170" i="31"/>
  <c r="AE170" i="31"/>
  <c r="AD170" i="31"/>
  <c r="AJ169" i="31"/>
  <c r="AI169" i="31"/>
  <c r="AH169" i="31"/>
  <c r="AF169" i="31" s="1"/>
  <c r="AG169" i="31"/>
  <c r="AE169" i="31"/>
  <c r="AD169" i="31"/>
  <c r="AJ168" i="31"/>
  <c r="AI168" i="31"/>
  <c r="AH168" i="31"/>
  <c r="AF168" i="31" s="1"/>
  <c r="AG168" i="31"/>
  <c r="AE168" i="31"/>
  <c r="AD168" i="31"/>
  <c r="AL168" i="31" s="1"/>
  <c r="AJ167" i="31"/>
  <c r="AI167" i="31"/>
  <c r="AH167" i="31"/>
  <c r="AF167" i="31" s="1"/>
  <c r="AG167" i="31"/>
  <c r="AE167" i="31"/>
  <c r="AD167" i="31"/>
  <c r="AC167" i="31" s="1"/>
  <c r="AJ166" i="31"/>
  <c r="AI166" i="31"/>
  <c r="AH166" i="31"/>
  <c r="AF166" i="31" s="1"/>
  <c r="AG166" i="31"/>
  <c r="AE166" i="31"/>
  <c r="AD166" i="31"/>
  <c r="AL166" i="31" s="1"/>
  <c r="AJ165" i="31"/>
  <c r="AI165" i="31"/>
  <c r="AH165" i="31"/>
  <c r="AF165" i="31" s="1"/>
  <c r="AG165" i="31"/>
  <c r="AE165" i="31"/>
  <c r="AD165" i="31"/>
  <c r="AL165" i="31" s="1"/>
  <c r="AJ164" i="31"/>
  <c r="AI164" i="31"/>
  <c r="AH164" i="31"/>
  <c r="AF164" i="31" s="1"/>
  <c r="AG164" i="31"/>
  <c r="AE164" i="31"/>
  <c r="AD164" i="31"/>
  <c r="AC164" i="31" s="1"/>
  <c r="AJ163" i="31"/>
  <c r="AI163" i="31"/>
  <c r="AH163" i="31"/>
  <c r="AF163" i="31" s="1"/>
  <c r="AG163" i="31"/>
  <c r="AE163" i="31"/>
  <c r="AD163" i="31"/>
  <c r="AL163" i="31" s="1"/>
  <c r="AJ162" i="31"/>
  <c r="AI162" i="31"/>
  <c r="AH162" i="31"/>
  <c r="AF162" i="31" s="1"/>
  <c r="AG162" i="31"/>
  <c r="AE162" i="31"/>
  <c r="AD162" i="31"/>
  <c r="AC162" i="31" s="1"/>
  <c r="AJ161" i="31"/>
  <c r="AI161" i="31"/>
  <c r="AH161" i="31"/>
  <c r="AF161" i="31" s="1"/>
  <c r="AG161" i="31"/>
  <c r="AE161" i="31"/>
  <c r="AD161" i="31"/>
  <c r="AL161" i="31" s="1"/>
  <c r="AJ160" i="31"/>
  <c r="AI160" i="31"/>
  <c r="AH160" i="31"/>
  <c r="AF160" i="31" s="1"/>
  <c r="AG160" i="31"/>
  <c r="AE160" i="31"/>
  <c r="AD160" i="31"/>
  <c r="AL160" i="31" s="1"/>
  <c r="AJ159" i="31"/>
  <c r="AI159" i="31"/>
  <c r="AH159" i="31"/>
  <c r="AF159" i="31" s="1"/>
  <c r="AG159" i="31"/>
  <c r="AE159" i="31"/>
  <c r="AD159" i="31"/>
  <c r="AC159" i="31" s="1"/>
  <c r="AJ158" i="31"/>
  <c r="AI158" i="31"/>
  <c r="AH158" i="31"/>
  <c r="AF158" i="31" s="1"/>
  <c r="AG158" i="31"/>
  <c r="AE158" i="31"/>
  <c r="AD158" i="31"/>
  <c r="AJ156" i="31"/>
  <c r="AI156" i="31"/>
  <c r="AH156" i="31"/>
  <c r="AF156" i="31" s="1"/>
  <c r="AG156" i="31"/>
  <c r="AE156" i="31"/>
  <c r="AD156" i="31"/>
  <c r="AL156" i="31" s="1"/>
  <c r="AJ154" i="31"/>
  <c r="AI154" i="31"/>
  <c r="AH154" i="31"/>
  <c r="AF154" i="31" s="1"/>
  <c r="AG154" i="31"/>
  <c r="AE154" i="31"/>
  <c r="AD154" i="31"/>
  <c r="AC154" i="31" s="1"/>
  <c r="AJ153" i="31"/>
  <c r="AI153" i="31"/>
  <c r="AH153" i="31"/>
  <c r="AF153" i="31" s="1"/>
  <c r="AG153" i="31"/>
  <c r="AE153" i="31"/>
  <c r="AD153" i="31"/>
  <c r="AL153" i="31" s="1"/>
  <c r="AJ152" i="31"/>
  <c r="AI152" i="31"/>
  <c r="AH152" i="31"/>
  <c r="AF152" i="31" s="1"/>
  <c r="AG152" i="31"/>
  <c r="AE152" i="31"/>
  <c r="AD152" i="31"/>
  <c r="AC152" i="31" s="1"/>
  <c r="AJ151" i="31"/>
  <c r="AI151" i="31"/>
  <c r="AH151" i="31"/>
  <c r="AF151" i="31" s="1"/>
  <c r="AG151" i="31"/>
  <c r="AE151" i="31"/>
  <c r="AD151" i="31"/>
  <c r="AC151" i="31" s="1"/>
  <c r="AJ150" i="31"/>
  <c r="AI150" i="31"/>
  <c r="AH150" i="31"/>
  <c r="AF150" i="31" s="1"/>
  <c r="AG150" i="31"/>
  <c r="AE150" i="31"/>
  <c r="AD150" i="31"/>
  <c r="AL150" i="31" s="1"/>
  <c r="AJ149" i="31"/>
  <c r="AI149" i="31"/>
  <c r="AH149" i="31"/>
  <c r="AF149" i="31" s="1"/>
  <c r="AG149" i="31"/>
  <c r="AE149" i="31"/>
  <c r="AD149" i="31"/>
  <c r="AC149" i="31" s="1"/>
  <c r="AJ148" i="31"/>
  <c r="AI148" i="31"/>
  <c r="AH148" i="31"/>
  <c r="AF148" i="31" s="1"/>
  <c r="AG148" i="31"/>
  <c r="AE148" i="31"/>
  <c r="AD148" i="31"/>
  <c r="AL148" i="31" s="1"/>
  <c r="AJ147" i="31"/>
  <c r="AI147" i="31"/>
  <c r="AH147" i="31"/>
  <c r="AF147" i="31" s="1"/>
  <c r="AG147" i="31"/>
  <c r="AE147" i="31"/>
  <c r="AD147" i="31"/>
  <c r="AL147" i="31" s="1"/>
  <c r="AJ146" i="31"/>
  <c r="AI146" i="31"/>
  <c r="AH146" i="31"/>
  <c r="AF146" i="31" s="1"/>
  <c r="AG146" i="31"/>
  <c r="AE146" i="31"/>
  <c r="AD146" i="31"/>
  <c r="AC146" i="31" s="1"/>
  <c r="AJ145" i="31"/>
  <c r="AI145" i="31"/>
  <c r="AH145" i="31"/>
  <c r="AF145" i="31" s="1"/>
  <c r="AG145" i="31"/>
  <c r="AE145" i="31"/>
  <c r="AD145" i="31"/>
  <c r="AL145" i="31" s="1"/>
  <c r="AJ144" i="31"/>
  <c r="AI144" i="31"/>
  <c r="AH144" i="31"/>
  <c r="AF144" i="31" s="1"/>
  <c r="AG144" i="31"/>
  <c r="AE144" i="31"/>
  <c r="AD144" i="31"/>
  <c r="AJ143" i="31"/>
  <c r="AI143" i="31"/>
  <c r="AH143" i="31"/>
  <c r="AF143" i="31" s="1"/>
  <c r="AG143" i="31"/>
  <c r="AE143" i="31"/>
  <c r="AJ141" i="31"/>
  <c r="AI141" i="31"/>
  <c r="AH141" i="31"/>
  <c r="AF141" i="31" s="1"/>
  <c r="AG141" i="31"/>
  <c r="AE141" i="31"/>
  <c r="AD141" i="31"/>
  <c r="AL141" i="31" s="1"/>
  <c r="AJ140" i="31"/>
  <c r="AI140" i="31"/>
  <c r="AH140" i="31"/>
  <c r="AF140" i="31" s="1"/>
  <c r="AG140" i="31"/>
  <c r="AE140" i="31"/>
  <c r="AD140" i="31"/>
  <c r="AC140" i="31" s="1"/>
  <c r="AJ139" i="31"/>
  <c r="AI139" i="31"/>
  <c r="AH139" i="31"/>
  <c r="AF139" i="31" s="1"/>
  <c r="AG139" i="31"/>
  <c r="AE139" i="31"/>
  <c r="AD139" i="31"/>
  <c r="AC139" i="31" s="1"/>
  <c r="AJ138" i="31"/>
  <c r="AI138" i="31"/>
  <c r="AH138" i="31"/>
  <c r="AF138" i="31" s="1"/>
  <c r="AG138" i="31"/>
  <c r="AE138" i="31"/>
  <c r="AD138" i="31"/>
  <c r="AL138" i="31" s="1"/>
  <c r="AJ137" i="31"/>
  <c r="AI137" i="31"/>
  <c r="AH137" i="31"/>
  <c r="AF137" i="31" s="1"/>
  <c r="AG137" i="31"/>
  <c r="AE137" i="31"/>
  <c r="AD137" i="31"/>
  <c r="AJ136" i="31"/>
  <c r="AI136" i="31"/>
  <c r="AH136" i="31"/>
  <c r="AF136" i="31" s="1"/>
  <c r="AG136" i="31"/>
  <c r="AE136" i="31"/>
  <c r="AD136" i="31"/>
  <c r="AL136" i="31" s="1"/>
  <c r="AJ134" i="31"/>
  <c r="AI134" i="31"/>
  <c r="AH134" i="31"/>
  <c r="AF134" i="31" s="1"/>
  <c r="AG134" i="31"/>
  <c r="AE134" i="31"/>
  <c r="AD134" i="31"/>
  <c r="AJ133" i="31"/>
  <c r="AI133" i="31"/>
  <c r="AH133" i="31"/>
  <c r="AF133" i="31" s="1"/>
  <c r="AG133" i="31"/>
  <c r="AE133" i="31"/>
  <c r="AD133" i="31"/>
  <c r="AL133" i="31" s="1"/>
  <c r="AJ132" i="31"/>
  <c r="AI132" i="31"/>
  <c r="AH132" i="31"/>
  <c r="AF132" i="31" s="1"/>
  <c r="AG132" i="31"/>
  <c r="AE132" i="31"/>
  <c r="AD132" i="31"/>
  <c r="AL132" i="31" s="1"/>
  <c r="AJ130" i="31"/>
  <c r="AI130" i="31"/>
  <c r="AH130" i="31"/>
  <c r="AF130" i="31" s="1"/>
  <c r="AG130" i="31"/>
  <c r="AE130" i="31"/>
  <c r="AD130" i="31"/>
  <c r="AC130" i="31" s="1"/>
  <c r="AJ129" i="31"/>
  <c r="AI129" i="31"/>
  <c r="AH129" i="31"/>
  <c r="AF129" i="31" s="1"/>
  <c r="AG129" i="31"/>
  <c r="AE129" i="31"/>
  <c r="AD129" i="31"/>
  <c r="AL129" i="31" s="1"/>
  <c r="AJ128" i="31"/>
  <c r="AI128" i="31"/>
  <c r="AH128" i="31"/>
  <c r="AF128" i="31" s="1"/>
  <c r="AG128" i="31"/>
  <c r="AE128" i="31"/>
  <c r="AD128" i="31"/>
  <c r="AL128" i="31" s="1"/>
  <c r="AJ127" i="31"/>
  <c r="AI127" i="31"/>
  <c r="AH127" i="31"/>
  <c r="AF127" i="31" s="1"/>
  <c r="AG127" i="31"/>
  <c r="AE127" i="31"/>
  <c r="AD127" i="31"/>
  <c r="AC127" i="31" s="1"/>
  <c r="AJ126" i="31"/>
  <c r="AI126" i="31"/>
  <c r="AH126" i="31"/>
  <c r="AF126" i="31" s="1"/>
  <c r="AG126" i="31"/>
  <c r="AE126" i="31"/>
  <c r="AD126" i="31"/>
  <c r="AL126" i="31" s="1"/>
  <c r="AJ125" i="31"/>
  <c r="AI125" i="31"/>
  <c r="AH125" i="31"/>
  <c r="AF125" i="31" s="1"/>
  <c r="AG125" i="31"/>
  <c r="AE125" i="31"/>
  <c r="AD125" i="31"/>
  <c r="AC125" i="31" s="1"/>
  <c r="AJ124" i="31"/>
  <c r="AI124" i="31"/>
  <c r="AH124" i="31"/>
  <c r="AF124" i="31" s="1"/>
  <c r="AG124" i="31"/>
  <c r="AE124" i="31"/>
  <c r="AD124" i="31"/>
  <c r="AL124" i="31" s="1"/>
  <c r="AJ123" i="31"/>
  <c r="AI123" i="31"/>
  <c r="AH123" i="31"/>
  <c r="AF123" i="31" s="1"/>
  <c r="AG123" i="31"/>
  <c r="AE123" i="31"/>
  <c r="AD123" i="31"/>
  <c r="AL123" i="31" s="1"/>
  <c r="AJ122" i="31"/>
  <c r="AI122" i="31"/>
  <c r="AH122" i="31"/>
  <c r="AF122" i="31" s="1"/>
  <c r="AG122" i="31"/>
  <c r="AE122" i="31"/>
  <c r="AD122" i="31"/>
  <c r="AC122" i="31" s="1"/>
  <c r="AJ121" i="31"/>
  <c r="AI121" i="31"/>
  <c r="AH121" i="31"/>
  <c r="AF121" i="31" s="1"/>
  <c r="AG121" i="31"/>
  <c r="AE121" i="31"/>
  <c r="AD121" i="31"/>
  <c r="AL121" i="31" s="1"/>
  <c r="AJ120" i="31"/>
  <c r="AI120" i="31"/>
  <c r="AH120" i="31"/>
  <c r="AF120" i="31" s="1"/>
  <c r="AG120" i="31"/>
  <c r="AE120" i="31"/>
  <c r="AD120" i="31"/>
  <c r="AL120" i="31" s="1"/>
  <c r="AJ119" i="31"/>
  <c r="AI119" i="31"/>
  <c r="AH119" i="31"/>
  <c r="AF119" i="31" s="1"/>
  <c r="AG119" i="31"/>
  <c r="AE119" i="31"/>
  <c r="AD119" i="31"/>
  <c r="AC119" i="31" s="1"/>
  <c r="AJ118" i="31"/>
  <c r="AI118" i="31"/>
  <c r="AH118" i="31"/>
  <c r="AF118" i="31" s="1"/>
  <c r="AG118" i="31"/>
  <c r="AE118" i="31"/>
  <c r="AD118" i="31"/>
  <c r="AJ117" i="31"/>
  <c r="AI117" i="31"/>
  <c r="AH117" i="31"/>
  <c r="AF117" i="31" s="1"/>
  <c r="AG117" i="31"/>
  <c r="AE117" i="31"/>
  <c r="AD117" i="31"/>
  <c r="AL117" i="31" s="1"/>
  <c r="AJ116" i="31"/>
  <c r="AI116" i="31"/>
  <c r="AH116" i="31"/>
  <c r="AF116" i="31" s="1"/>
  <c r="AG116" i="31"/>
  <c r="AE116" i="31"/>
  <c r="AD116" i="31"/>
  <c r="AL116" i="31" s="1"/>
  <c r="AJ115" i="31"/>
  <c r="AI115" i="31"/>
  <c r="AH115" i="31"/>
  <c r="AF115" i="31" s="1"/>
  <c r="AG115" i="31"/>
  <c r="AE115" i="31"/>
  <c r="AD115" i="31"/>
  <c r="AL115" i="31" s="1"/>
  <c r="AJ114" i="31"/>
  <c r="AI114" i="31"/>
  <c r="AH114" i="31"/>
  <c r="AF114" i="31" s="1"/>
  <c r="AG114" i="31"/>
  <c r="AE114" i="31"/>
  <c r="AD114" i="31"/>
  <c r="AJ113" i="31"/>
  <c r="AI113" i="31"/>
  <c r="AH113" i="31"/>
  <c r="AF113" i="31" s="1"/>
  <c r="AG113" i="31"/>
  <c r="AE113" i="31"/>
  <c r="AD113" i="31"/>
  <c r="AL113" i="31" s="1"/>
  <c r="AJ112" i="31"/>
  <c r="AI112" i="31"/>
  <c r="AH112" i="31"/>
  <c r="AF112" i="31" s="1"/>
  <c r="AG112" i="31"/>
  <c r="AE112" i="31"/>
  <c r="AD112" i="31"/>
  <c r="AL112" i="31" s="1"/>
  <c r="AJ111" i="31"/>
  <c r="AI111" i="31"/>
  <c r="AH111" i="31"/>
  <c r="AF111" i="31" s="1"/>
  <c r="AG111" i="31"/>
  <c r="AE111" i="31"/>
  <c r="AD111" i="31"/>
  <c r="AC111" i="31" s="1"/>
  <c r="AJ110" i="31"/>
  <c r="AI110" i="31"/>
  <c r="AH110" i="31"/>
  <c r="AF110" i="31" s="1"/>
  <c r="AG110" i="31"/>
  <c r="AE110" i="31"/>
  <c r="AD110" i="31"/>
  <c r="AJ109" i="31"/>
  <c r="AI109" i="31"/>
  <c r="AH109" i="31"/>
  <c r="AF109" i="31" s="1"/>
  <c r="AG109" i="31"/>
  <c r="AE109" i="31"/>
  <c r="AD109" i="31"/>
  <c r="AL109" i="31" s="1"/>
  <c r="AJ108" i="31"/>
  <c r="AI108" i="31"/>
  <c r="AH108" i="31"/>
  <c r="AF108" i="31" s="1"/>
  <c r="AG108" i="31"/>
  <c r="AE108" i="31"/>
  <c r="AD108" i="31"/>
  <c r="AJ107" i="31"/>
  <c r="AI107" i="31"/>
  <c r="AH107" i="31"/>
  <c r="AF107" i="31" s="1"/>
  <c r="AG107" i="31"/>
  <c r="AE107" i="31"/>
  <c r="AD107" i="31"/>
  <c r="AL107" i="31" s="1"/>
  <c r="AJ106" i="31"/>
  <c r="AI106" i="31"/>
  <c r="AH106" i="31"/>
  <c r="AF106" i="31" s="1"/>
  <c r="AG106" i="31"/>
  <c r="AE106" i="31"/>
  <c r="AD106" i="31"/>
  <c r="AC106" i="31" s="1"/>
  <c r="AJ105" i="31"/>
  <c r="AI105" i="31"/>
  <c r="AH105" i="31"/>
  <c r="AF105" i="31" s="1"/>
  <c r="AG105" i="31"/>
  <c r="AE105" i="31"/>
  <c r="AD105" i="31"/>
  <c r="AL105" i="31" s="1"/>
  <c r="AJ104" i="31"/>
  <c r="AI104" i="31"/>
  <c r="AH104" i="31"/>
  <c r="AF104" i="31" s="1"/>
  <c r="AG104" i="31"/>
  <c r="AE104" i="31"/>
  <c r="AD104" i="31"/>
  <c r="AL104" i="31" s="1"/>
  <c r="AJ103" i="31"/>
  <c r="AI103" i="31"/>
  <c r="AH103" i="31"/>
  <c r="AF103" i="31" s="1"/>
  <c r="AG103" i="31"/>
  <c r="AE103" i="31"/>
  <c r="AD103" i="31"/>
  <c r="AJ102" i="31"/>
  <c r="AI102" i="31"/>
  <c r="AH102" i="31"/>
  <c r="AF102" i="31" s="1"/>
  <c r="AG102" i="31"/>
  <c r="AE102" i="31"/>
  <c r="AD102" i="31"/>
  <c r="AL102" i="31" s="1"/>
  <c r="AJ101" i="31"/>
  <c r="AI101" i="31"/>
  <c r="AH101" i="31"/>
  <c r="AF101" i="31" s="1"/>
  <c r="AG101" i="31"/>
  <c r="AE101" i="31"/>
  <c r="AD101" i="31"/>
  <c r="AL101" i="31" s="1"/>
  <c r="AJ100" i="31"/>
  <c r="AI100" i="31"/>
  <c r="AH100" i="31"/>
  <c r="AF100" i="31" s="1"/>
  <c r="AG100" i="31"/>
  <c r="AE100" i="31"/>
  <c r="AD100" i="31"/>
  <c r="AJ99" i="31"/>
  <c r="AI99" i="31"/>
  <c r="AH99" i="31"/>
  <c r="AF99" i="31" s="1"/>
  <c r="AG99" i="31"/>
  <c r="AE99" i="31"/>
  <c r="AD99" i="31"/>
  <c r="AC99" i="31" s="1"/>
  <c r="AJ97" i="31"/>
  <c r="AI97" i="31"/>
  <c r="AH97" i="31"/>
  <c r="AF97" i="31" s="1"/>
  <c r="AG97" i="31"/>
  <c r="AE97" i="31"/>
  <c r="AD97" i="31"/>
  <c r="AL97" i="31" s="1"/>
  <c r="AJ96" i="31"/>
  <c r="AI96" i="31"/>
  <c r="AH96" i="31"/>
  <c r="AF96" i="31" s="1"/>
  <c r="AG96" i="31"/>
  <c r="AE96" i="31"/>
  <c r="AD96" i="31"/>
  <c r="AL96" i="31" s="1"/>
  <c r="AJ95" i="31"/>
  <c r="AI95" i="31"/>
  <c r="AH95" i="31"/>
  <c r="AF95" i="31" s="1"/>
  <c r="AG95" i="31"/>
  <c r="AE95" i="31"/>
  <c r="AD95" i="31"/>
  <c r="AC95" i="31" s="1"/>
  <c r="AJ93" i="31"/>
  <c r="AI93" i="31"/>
  <c r="AH93" i="31"/>
  <c r="AF93" i="31" s="1"/>
  <c r="AG93" i="31"/>
  <c r="AE93" i="31"/>
  <c r="AD93" i="31"/>
  <c r="AL93" i="31" s="1"/>
  <c r="AJ92" i="31"/>
  <c r="AI92" i="31"/>
  <c r="AH92" i="31"/>
  <c r="AF92" i="31" s="1"/>
  <c r="AG92" i="31"/>
  <c r="AE92" i="31"/>
  <c r="AD92" i="31"/>
  <c r="AC92" i="31" s="1"/>
  <c r="AJ91" i="31"/>
  <c r="AI91" i="31"/>
  <c r="AH91" i="31"/>
  <c r="AF91" i="31" s="1"/>
  <c r="AG91" i="31"/>
  <c r="AE91" i="31"/>
  <c r="AD91" i="31"/>
  <c r="AC91" i="31" s="1"/>
  <c r="AJ90" i="31"/>
  <c r="AI90" i="31"/>
  <c r="AH90" i="31"/>
  <c r="AF90" i="31" s="1"/>
  <c r="AG90" i="31"/>
  <c r="AE90" i="31"/>
  <c r="AD90" i="31"/>
  <c r="AL90" i="31" s="1"/>
  <c r="AJ89" i="31"/>
  <c r="AI89" i="31"/>
  <c r="AH89" i="31"/>
  <c r="AF89" i="31" s="1"/>
  <c r="AG89" i="31"/>
  <c r="AE89" i="31"/>
  <c r="AD89" i="31"/>
  <c r="AC89" i="31" s="1"/>
  <c r="AJ87" i="31"/>
  <c r="AI87" i="31"/>
  <c r="AH87" i="31"/>
  <c r="AF87" i="31" s="1"/>
  <c r="AG87" i="31"/>
  <c r="AE87" i="31"/>
  <c r="AD87" i="31"/>
  <c r="AL87" i="31" s="1"/>
  <c r="AJ86" i="31"/>
  <c r="AI86" i="31"/>
  <c r="AH86" i="31"/>
  <c r="AF86" i="31" s="1"/>
  <c r="AG86" i="31"/>
  <c r="AE86" i="31"/>
  <c r="AD86" i="31"/>
  <c r="AL86" i="31" s="1"/>
  <c r="AJ85" i="31"/>
  <c r="AI85" i="31"/>
  <c r="AH85" i="31"/>
  <c r="AF85" i="31" s="1"/>
  <c r="AG85" i="31"/>
  <c r="AE85" i="31"/>
  <c r="AD85" i="31"/>
  <c r="AC85" i="31" s="1"/>
  <c r="AJ84" i="31"/>
  <c r="AI84" i="31"/>
  <c r="AH84" i="31"/>
  <c r="AF84" i="31" s="1"/>
  <c r="AG84" i="31"/>
  <c r="AE84" i="31"/>
  <c r="AD84" i="31"/>
  <c r="AL84" i="31" s="1"/>
  <c r="AJ83" i="31"/>
  <c r="AI83" i="31"/>
  <c r="AH83" i="31"/>
  <c r="AF83" i="31" s="1"/>
  <c r="AG83" i="31"/>
  <c r="AE83" i="31"/>
  <c r="AD83" i="31"/>
  <c r="AC83" i="31" s="1"/>
  <c r="AJ82" i="31"/>
  <c r="AI82" i="31"/>
  <c r="AH82" i="31"/>
  <c r="AF82" i="31" s="1"/>
  <c r="AG82" i="31"/>
  <c r="AE82" i="31"/>
  <c r="AD82" i="31"/>
  <c r="AL82" i="31" s="1"/>
  <c r="AJ80" i="31"/>
  <c r="AI80" i="31"/>
  <c r="AH80" i="31"/>
  <c r="AF80" i="31" s="1"/>
  <c r="AG80" i="31"/>
  <c r="AE80" i="31"/>
  <c r="AD80" i="31"/>
  <c r="AL80" i="31" s="1"/>
  <c r="AJ79" i="31"/>
  <c r="AI79" i="31"/>
  <c r="AH79" i="31"/>
  <c r="AF79" i="31" s="1"/>
  <c r="AG79" i="31"/>
  <c r="AE79" i="31"/>
  <c r="AD79" i="31"/>
  <c r="AC79" i="31" s="1"/>
  <c r="AJ78" i="31"/>
  <c r="AI78" i="31"/>
  <c r="AH78" i="31"/>
  <c r="AF78" i="31" s="1"/>
  <c r="AG78" i="31"/>
  <c r="AE78" i="31"/>
  <c r="AD78" i="31"/>
  <c r="AL78" i="31" s="1"/>
  <c r="AJ77" i="31"/>
  <c r="AI77" i="31"/>
  <c r="AH77" i="31"/>
  <c r="AF77" i="31" s="1"/>
  <c r="AG77" i="31"/>
  <c r="AE77" i="31"/>
  <c r="AD77" i="31"/>
  <c r="AJ76" i="31"/>
  <c r="AI76" i="31"/>
  <c r="AH76" i="31"/>
  <c r="AF76" i="31" s="1"/>
  <c r="AG76" i="31"/>
  <c r="AE76" i="31"/>
  <c r="AD76" i="31"/>
  <c r="AL76" i="31" s="1"/>
  <c r="AJ75" i="31"/>
  <c r="AI75" i="31"/>
  <c r="AH75" i="31"/>
  <c r="AF75" i="31" s="1"/>
  <c r="AG75" i="31"/>
  <c r="AE75" i="31"/>
  <c r="AD75" i="31"/>
  <c r="AL75" i="31" s="1"/>
  <c r="AJ74" i="31"/>
  <c r="AI74" i="31"/>
  <c r="AH74" i="31"/>
  <c r="AF74" i="31" s="1"/>
  <c r="AG74" i="31"/>
  <c r="AE74" i="31"/>
  <c r="AD74" i="31"/>
  <c r="AC74" i="31" s="1"/>
  <c r="AJ72" i="31"/>
  <c r="AI72" i="31"/>
  <c r="AH72" i="31"/>
  <c r="AF72" i="31" s="1"/>
  <c r="AG72" i="31"/>
  <c r="AE72" i="31"/>
  <c r="AD72" i="31"/>
  <c r="AL72" i="31" s="1"/>
  <c r="AJ71" i="31"/>
  <c r="AI71" i="31"/>
  <c r="AH71" i="31"/>
  <c r="AF71" i="31" s="1"/>
  <c r="AG71" i="31"/>
  <c r="AE71" i="31"/>
  <c r="AD71" i="31"/>
  <c r="AJ70" i="31"/>
  <c r="AI70" i="31"/>
  <c r="AH70" i="31"/>
  <c r="AF70" i="31" s="1"/>
  <c r="AG70" i="31"/>
  <c r="AE70" i="31"/>
  <c r="AD70" i="31"/>
  <c r="AC70" i="31" s="1"/>
  <c r="AJ69" i="31"/>
  <c r="AI69" i="31"/>
  <c r="AH69" i="31"/>
  <c r="AF69" i="31" s="1"/>
  <c r="AG69" i="31"/>
  <c r="AE69" i="31"/>
  <c r="AD69" i="31"/>
  <c r="AL69" i="31" s="1"/>
  <c r="AJ68" i="31"/>
  <c r="AI68" i="31"/>
  <c r="AH68" i="31"/>
  <c r="AF68" i="31" s="1"/>
  <c r="AG68" i="31"/>
  <c r="AE68" i="31"/>
  <c r="AD68" i="31"/>
  <c r="AC68" i="31" s="1"/>
  <c r="AJ67" i="31"/>
  <c r="AI67" i="31"/>
  <c r="AH67" i="31"/>
  <c r="AF67" i="31" s="1"/>
  <c r="AG67" i="31"/>
  <c r="AE67" i="31"/>
  <c r="AD67" i="31"/>
  <c r="AJ66" i="31"/>
  <c r="AI66" i="31"/>
  <c r="AH66" i="31"/>
  <c r="AF66" i="31" s="1"/>
  <c r="AG66" i="31"/>
  <c r="AE66" i="31"/>
  <c r="AD66" i="31"/>
  <c r="AC66" i="31" s="1"/>
  <c r="AJ65" i="31"/>
  <c r="AI65" i="31"/>
  <c r="AH65" i="31"/>
  <c r="AF65" i="31" s="1"/>
  <c r="AG65" i="31"/>
  <c r="AE65" i="31"/>
  <c r="AD65" i="31"/>
  <c r="AJ64" i="31"/>
  <c r="AI64" i="31"/>
  <c r="AH64" i="31"/>
  <c r="AF64" i="31" s="1"/>
  <c r="AG64" i="31"/>
  <c r="AE64" i="31"/>
  <c r="AD64" i="31"/>
  <c r="AL64" i="31" s="1"/>
  <c r="AJ63" i="31"/>
  <c r="AI63" i="31"/>
  <c r="AH63" i="31"/>
  <c r="AF63" i="31" s="1"/>
  <c r="AG63" i="31"/>
  <c r="AE63" i="31"/>
  <c r="AD63" i="31"/>
  <c r="AC63" i="31" s="1"/>
  <c r="AJ62" i="31"/>
  <c r="AI62" i="31"/>
  <c r="AH62" i="31"/>
  <c r="AF62" i="31" s="1"/>
  <c r="AG62" i="31"/>
  <c r="AE62" i="31"/>
  <c r="AD62" i="31"/>
  <c r="AC62" i="31" s="1"/>
  <c r="AJ61" i="31"/>
  <c r="AI61" i="31"/>
  <c r="AH61" i="31"/>
  <c r="AF61" i="31" s="1"/>
  <c r="AG61" i="31"/>
  <c r="AE61" i="31"/>
  <c r="AD61" i="31"/>
  <c r="AL61" i="31" s="1"/>
  <c r="AJ60" i="31"/>
  <c r="AI60" i="31"/>
  <c r="AH60" i="31"/>
  <c r="AF60" i="31" s="1"/>
  <c r="AG60" i="31"/>
  <c r="AE60" i="31"/>
  <c r="AD60" i="31"/>
  <c r="AL60" i="31" s="1"/>
  <c r="AJ59" i="31"/>
  <c r="AI59" i="31"/>
  <c r="AH59" i="31"/>
  <c r="AF59" i="31" s="1"/>
  <c r="AG59" i="31"/>
  <c r="AE59" i="31"/>
  <c r="AD59" i="31"/>
  <c r="AC59" i="31" s="1"/>
  <c r="AJ57" i="31"/>
  <c r="AI57" i="31"/>
  <c r="AH57" i="31"/>
  <c r="AF57" i="31" s="1"/>
  <c r="AG57" i="31"/>
  <c r="AE57" i="31"/>
  <c r="AD57" i="31"/>
  <c r="AL57" i="31" s="1"/>
  <c r="AJ56" i="31"/>
  <c r="AI56" i="31"/>
  <c r="AH56" i="31"/>
  <c r="AF56" i="31" s="1"/>
  <c r="AG56" i="31"/>
  <c r="AE56" i="31"/>
  <c r="AD56" i="31"/>
  <c r="AJ55" i="31"/>
  <c r="AI55" i="31"/>
  <c r="AH55" i="31"/>
  <c r="AF55" i="31" s="1"/>
  <c r="AG55" i="31"/>
  <c r="AE55" i="31"/>
  <c r="AD55" i="31"/>
  <c r="AL55" i="31" s="1"/>
  <c r="AJ54" i="31"/>
  <c r="AI54" i="31"/>
  <c r="AH54" i="31"/>
  <c r="AF54" i="31" s="1"/>
  <c r="AG54" i="31"/>
  <c r="AE54" i="31"/>
  <c r="AD54" i="31"/>
  <c r="AL54" i="31" s="1"/>
  <c r="AJ52" i="31"/>
  <c r="AI52" i="31"/>
  <c r="AH52" i="31"/>
  <c r="AF52" i="31" s="1"/>
  <c r="AG52" i="31"/>
  <c r="AE52" i="31"/>
  <c r="AD52" i="31"/>
  <c r="AC52" i="31" s="1"/>
  <c r="AJ51" i="31"/>
  <c r="AI51" i="31"/>
  <c r="AH51" i="31"/>
  <c r="AF51" i="31" s="1"/>
  <c r="AG51" i="31"/>
  <c r="AE51" i="31"/>
  <c r="AD51" i="31"/>
  <c r="AL51" i="31" s="1"/>
  <c r="AJ49" i="31"/>
  <c r="AI49" i="31"/>
  <c r="AH49" i="31"/>
  <c r="AF49" i="31" s="1"/>
  <c r="AG49" i="31"/>
  <c r="AE49" i="31"/>
  <c r="AD49" i="31"/>
  <c r="AJ48" i="31"/>
  <c r="AI48" i="31"/>
  <c r="AH48" i="31"/>
  <c r="AF48" i="31" s="1"/>
  <c r="AG48" i="31"/>
  <c r="AE48" i="31"/>
  <c r="AD48" i="31"/>
  <c r="AC48" i="31" s="1"/>
  <c r="AJ47" i="31"/>
  <c r="AI47" i="31"/>
  <c r="AH47" i="31"/>
  <c r="AF47" i="31" s="1"/>
  <c r="AG47" i="31"/>
  <c r="AE47" i="31"/>
  <c r="AD47" i="31"/>
  <c r="AL47" i="31" s="1"/>
  <c r="AJ46" i="31"/>
  <c r="AI46" i="31"/>
  <c r="AH46" i="31"/>
  <c r="AF46" i="31" s="1"/>
  <c r="AG46" i="31"/>
  <c r="AE46" i="31"/>
  <c r="AD46" i="31"/>
  <c r="AJ45" i="31"/>
  <c r="AI45" i="31"/>
  <c r="AH45" i="31"/>
  <c r="AF45" i="31" s="1"/>
  <c r="AG45" i="31"/>
  <c r="AE45" i="31"/>
  <c r="AD45" i="31"/>
  <c r="AL45" i="31" s="1"/>
  <c r="AJ44" i="31"/>
  <c r="AI44" i="31"/>
  <c r="AH44" i="31"/>
  <c r="AF44" i="31" s="1"/>
  <c r="AG44" i="31"/>
  <c r="AE44" i="31"/>
  <c r="AD44" i="31"/>
  <c r="AL44" i="31" s="1"/>
  <c r="AJ43" i="31"/>
  <c r="AI43" i="31"/>
  <c r="AH43" i="31"/>
  <c r="AF43" i="31" s="1"/>
  <c r="AG43" i="31"/>
  <c r="AE43" i="31"/>
  <c r="AD43" i="31"/>
  <c r="AC43" i="31" s="1"/>
  <c r="AJ42" i="31"/>
  <c r="AI42" i="31"/>
  <c r="AH42" i="31"/>
  <c r="AF42" i="31" s="1"/>
  <c r="AG42" i="31"/>
  <c r="AE42" i="31"/>
  <c r="AD42" i="31"/>
  <c r="AL42" i="31" s="1"/>
  <c r="AJ41" i="31"/>
  <c r="AI41" i="31"/>
  <c r="AH41" i="31"/>
  <c r="AF41" i="31" s="1"/>
  <c r="AG41" i="31"/>
  <c r="AE41" i="31"/>
  <c r="AD41" i="31"/>
  <c r="AJ40" i="31"/>
  <c r="AI40" i="31"/>
  <c r="AH40" i="31"/>
  <c r="AF40" i="31" s="1"/>
  <c r="AG40" i="31"/>
  <c r="AE40" i="31"/>
  <c r="AD40" i="31"/>
  <c r="AC40" i="31" s="1"/>
  <c r="AJ39" i="31"/>
  <c r="AI39" i="31"/>
  <c r="AH39" i="31"/>
  <c r="AF39" i="31" s="1"/>
  <c r="AG39" i="31"/>
  <c r="AE39" i="31"/>
  <c r="AD39" i="31"/>
  <c r="AL39" i="31" s="1"/>
  <c r="AJ38" i="31"/>
  <c r="AI38" i="31"/>
  <c r="AH38" i="31"/>
  <c r="AF38" i="31" s="1"/>
  <c r="AG38" i="31"/>
  <c r="AE38" i="31"/>
  <c r="AD38" i="31"/>
  <c r="AJ36" i="31"/>
  <c r="AI36" i="31"/>
  <c r="AH36" i="31"/>
  <c r="AF36" i="31" s="1"/>
  <c r="AG36" i="31"/>
  <c r="AE36" i="31"/>
  <c r="AD36" i="31"/>
  <c r="AL36" i="31" s="1"/>
  <c r="AJ35" i="31"/>
  <c r="AI35" i="31"/>
  <c r="AH35" i="31"/>
  <c r="AF35" i="31" s="1"/>
  <c r="AG35" i="31"/>
  <c r="AE35" i="31"/>
  <c r="AD35" i="31"/>
  <c r="AL35" i="31" s="1"/>
  <c r="AJ33" i="31"/>
  <c r="AI33" i="31"/>
  <c r="AH33" i="31"/>
  <c r="AF33" i="31" s="1"/>
  <c r="AG33" i="31"/>
  <c r="AE33" i="31"/>
  <c r="AD33" i="31"/>
  <c r="AC33" i="31" s="1"/>
  <c r="AJ32" i="31"/>
  <c r="AI32" i="31"/>
  <c r="AH32" i="31"/>
  <c r="AF32" i="31" s="1"/>
  <c r="AG32" i="31"/>
  <c r="AE32" i="31"/>
  <c r="AD32" i="31"/>
  <c r="AL32" i="31" s="1"/>
  <c r="AJ31" i="31"/>
  <c r="AI31" i="31"/>
  <c r="AH31" i="31"/>
  <c r="AF31" i="31" s="1"/>
  <c r="AG31" i="31"/>
  <c r="AE31" i="31"/>
  <c r="AD31" i="31"/>
  <c r="AC31" i="31" s="1"/>
  <c r="AJ29" i="31"/>
  <c r="AI29" i="31"/>
  <c r="AH29" i="31"/>
  <c r="AF29" i="31" s="1"/>
  <c r="AG29" i="31"/>
  <c r="AE29" i="31"/>
  <c r="AD29" i="31"/>
  <c r="AL29" i="31" s="1"/>
  <c r="AJ28" i="31"/>
  <c r="AI28" i="31"/>
  <c r="AH28" i="31"/>
  <c r="AF28" i="31" s="1"/>
  <c r="AG28" i="31"/>
  <c r="AE28" i="31"/>
  <c r="AD28" i="31"/>
  <c r="AC28" i="31" s="1"/>
  <c r="AJ27" i="31"/>
  <c r="AI27" i="31"/>
  <c r="AH27" i="31"/>
  <c r="AF27" i="31" s="1"/>
  <c r="AG27" i="31"/>
  <c r="AE27" i="31"/>
  <c r="AD27" i="31"/>
  <c r="AJ26" i="31"/>
  <c r="AI26" i="31"/>
  <c r="AH26" i="31"/>
  <c r="AF26" i="31" s="1"/>
  <c r="AG26" i="31"/>
  <c r="AE26" i="31"/>
  <c r="AD26" i="31"/>
  <c r="AJ25" i="31"/>
  <c r="AI25" i="31"/>
  <c r="AH25" i="31"/>
  <c r="AF25" i="31" s="1"/>
  <c r="AG25" i="31"/>
  <c r="AE25" i="31"/>
  <c r="AD25" i="31"/>
  <c r="AL25" i="31" s="1"/>
  <c r="AJ24" i="31"/>
  <c r="AI24" i="31"/>
  <c r="AH24" i="31"/>
  <c r="AF24" i="31" s="1"/>
  <c r="AG24" i="31"/>
  <c r="AE24" i="31"/>
  <c r="AD24" i="31"/>
  <c r="AC24" i="31" s="1"/>
  <c r="AJ22" i="31"/>
  <c r="AI22" i="31"/>
  <c r="AH22" i="31"/>
  <c r="AF22" i="31" s="1"/>
  <c r="AG22" i="31"/>
  <c r="AE22" i="31"/>
  <c r="AD22" i="31"/>
  <c r="AL22" i="31" s="1"/>
  <c r="AJ21" i="31"/>
  <c r="AI21" i="31"/>
  <c r="AH21" i="31"/>
  <c r="AF21" i="31" s="1"/>
  <c r="AG21" i="31"/>
  <c r="AE21" i="31"/>
  <c r="AD21" i="31"/>
  <c r="AL21" i="31" s="1"/>
  <c r="AJ20" i="31"/>
  <c r="AI20" i="31"/>
  <c r="AH20" i="31"/>
  <c r="AF20" i="31" s="1"/>
  <c r="AG20" i="31"/>
  <c r="AE20" i="31"/>
  <c r="AD20" i="31"/>
  <c r="AL20" i="31" s="1"/>
  <c r="AJ19" i="31"/>
  <c r="AI19" i="31"/>
  <c r="AH19" i="31"/>
  <c r="AF19" i="31" s="1"/>
  <c r="AG19" i="31"/>
  <c r="AE19" i="31"/>
  <c r="AD19" i="31"/>
  <c r="AJ18" i="31"/>
  <c r="AI18" i="31"/>
  <c r="AH18" i="31"/>
  <c r="AF18" i="31" s="1"/>
  <c r="AG18" i="31"/>
  <c r="AE18" i="31"/>
  <c r="AD18" i="31"/>
  <c r="AJ17" i="31"/>
  <c r="AI17" i="31"/>
  <c r="AH17" i="31"/>
  <c r="AF17" i="31" s="1"/>
  <c r="AG17" i="31"/>
  <c r="AE17" i="31"/>
  <c r="AD17" i="31"/>
  <c r="AL17" i="31" s="1"/>
  <c r="AJ16" i="31"/>
  <c r="AI16" i="31"/>
  <c r="AH16" i="31"/>
  <c r="AF16" i="31" s="1"/>
  <c r="AG16" i="31"/>
  <c r="AE16" i="31"/>
  <c r="AD16" i="31"/>
  <c r="AL16" i="31" s="1"/>
  <c r="AJ15" i="31"/>
  <c r="AI15" i="31"/>
  <c r="AH15" i="31"/>
  <c r="AF15" i="31" s="1"/>
  <c r="AG15" i="31"/>
  <c r="AE15" i="31"/>
  <c r="AD15" i="31"/>
  <c r="AC15" i="31" s="1"/>
  <c r="AJ14" i="31"/>
  <c r="AI14" i="31"/>
  <c r="AH14" i="31"/>
  <c r="AF14" i="31" s="1"/>
  <c r="AG14" i="31"/>
  <c r="AE14" i="31"/>
  <c r="AD14" i="31"/>
  <c r="AC14" i="31" s="1"/>
  <c r="AJ13" i="31"/>
  <c r="AI13" i="31"/>
  <c r="AH13" i="31"/>
  <c r="AF13" i="31" s="1"/>
  <c r="AG13" i="31"/>
  <c r="AE13" i="31"/>
  <c r="AD13" i="31"/>
  <c r="AC13" i="31" s="1"/>
  <c r="AJ12" i="31"/>
  <c r="AI12" i="31"/>
  <c r="AH12" i="31"/>
  <c r="AF12" i="31" s="1"/>
  <c r="AG12" i="31"/>
  <c r="AE12" i="31"/>
  <c r="AD12" i="31"/>
  <c r="AC12" i="31" s="1"/>
  <c r="AJ10" i="31"/>
  <c r="AI10" i="31"/>
  <c r="AH10" i="31"/>
  <c r="AF10" i="31" s="1"/>
  <c r="AG10" i="31"/>
  <c r="AE10" i="31"/>
  <c r="AD10" i="31"/>
  <c r="AC10" i="31" s="1"/>
  <c r="AJ9" i="31"/>
  <c r="AI9" i="31"/>
  <c r="AH9" i="31"/>
  <c r="AF9" i="31" s="1"/>
  <c r="AG9" i="31"/>
  <c r="AE9" i="31"/>
  <c r="AD9" i="31"/>
  <c r="AL9" i="31" s="1"/>
  <c r="AJ8" i="31"/>
  <c r="AI8" i="31"/>
  <c r="AH8" i="31"/>
  <c r="AF8" i="31" s="1"/>
  <c r="AG8" i="31"/>
  <c r="AE8" i="31"/>
  <c r="AD8" i="31"/>
  <c r="AC8" i="31" s="1"/>
  <c r="AJ7" i="31"/>
  <c r="AI7" i="31"/>
  <c r="AH7" i="31"/>
  <c r="AF7" i="31" s="1"/>
  <c r="AG7" i="31"/>
  <c r="AE7" i="31"/>
  <c r="AD7" i="31"/>
  <c r="AL7" i="31" s="1"/>
  <c r="AJ6" i="31"/>
  <c r="AI6" i="31"/>
  <c r="AH6" i="31"/>
  <c r="AF6" i="31" s="1"/>
  <c r="AG6" i="31"/>
  <c r="AE6" i="31"/>
  <c r="AD6" i="31"/>
  <c r="AC6" i="31" s="1"/>
  <c r="AJ5" i="31"/>
  <c r="AI5" i="31"/>
  <c r="AH5" i="31"/>
  <c r="AF5" i="31" s="1"/>
  <c r="AG5" i="31"/>
  <c r="AE5" i="31"/>
  <c r="AD5" i="31"/>
  <c r="AC5" i="31" s="1"/>
  <c r="AC53" i="31"/>
  <c r="AE94" i="31"/>
  <c r="AG94" i="31"/>
  <c r="AH94" i="31"/>
  <c r="AF94" i="31" s="1"/>
  <c r="AI94" i="31"/>
  <c r="AJ94" i="31"/>
  <c r="AD94" i="31"/>
  <c r="AL94" i="31" s="1"/>
  <c r="BA12" i="13"/>
  <c r="BA11" i="13"/>
  <c r="BA10" i="13"/>
  <c r="BA9" i="13"/>
  <c r="BA8" i="13"/>
  <c r="BA7" i="13"/>
  <c r="BA6" i="13"/>
  <c r="AY12" i="13"/>
  <c r="AY11" i="13"/>
  <c r="AY10" i="13"/>
  <c r="AY9" i="13"/>
  <c r="AY8" i="13"/>
  <c r="AY7" i="13"/>
  <c r="AY6" i="13"/>
  <c r="AZ12" i="13"/>
  <c r="AZ11" i="13"/>
  <c r="AZ10" i="13"/>
  <c r="AZ9" i="13"/>
  <c r="AZ8" i="13"/>
  <c r="AZ7" i="13"/>
  <c r="AZ6" i="13"/>
  <c r="AX12" i="13"/>
  <c r="AX11" i="13"/>
  <c r="AX10" i="13"/>
  <c r="AX9" i="13"/>
  <c r="AX8" i="13"/>
  <c r="AX7" i="13"/>
  <c r="AX6" i="13"/>
  <c r="AW12" i="13"/>
  <c r="F23" i="13" s="1"/>
  <c r="AW11" i="13"/>
  <c r="F22" i="13" s="1"/>
  <c r="AW10" i="13"/>
  <c r="F21" i="13" s="1"/>
  <c r="AW9" i="13"/>
  <c r="F20" i="13" s="1"/>
  <c r="AW8" i="13"/>
  <c r="F19" i="13" s="1"/>
  <c r="AW7" i="13"/>
  <c r="F18" i="13" s="1"/>
  <c r="AW6" i="13"/>
  <c r="F17" i="13" s="1"/>
  <c r="AU12" i="13"/>
  <c r="AU11" i="13"/>
  <c r="AU10" i="13"/>
  <c r="AU9" i="13"/>
  <c r="AU8" i="13"/>
  <c r="AU7" i="13"/>
  <c r="AU6" i="13"/>
  <c r="AV12" i="13"/>
  <c r="AV11" i="13"/>
  <c r="AV10" i="13"/>
  <c r="AV9" i="13"/>
  <c r="AV8" i="13"/>
  <c r="AV7" i="13"/>
  <c r="AV6" i="13"/>
  <c r="BB12" i="13"/>
  <c r="BB11" i="13"/>
  <c r="BB10" i="13"/>
  <c r="BB9" i="13"/>
  <c r="BB8" i="13"/>
  <c r="BB7" i="13"/>
  <c r="AQ12" i="13"/>
  <c r="AP12" i="13"/>
  <c r="AO12" i="13"/>
  <c r="AN12" i="13"/>
  <c r="AM12" i="13"/>
  <c r="AL12" i="13"/>
  <c r="E23" i="13" s="1"/>
  <c r="AK12" i="13"/>
  <c r="AJ12" i="13"/>
  <c r="AQ11" i="13"/>
  <c r="AP11" i="13"/>
  <c r="AO11" i="13"/>
  <c r="AN11" i="13"/>
  <c r="AM11" i="13"/>
  <c r="AL11" i="13"/>
  <c r="E22" i="13" s="1"/>
  <c r="AK11" i="13"/>
  <c r="AJ11" i="13"/>
  <c r="AQ10" i="13"/>
  <c r="AP10" i="13"/>
  <c r="AO10" i="13"/>
  <c r="AN10" i="13"/>
  <c r="AM10" i="13"/>
  <c r="AL10" i="13"/>
  <c r="E21" i="13" s="1"/>
  <c r="AK10" i="13"/>
  <c r="AJ10" i="13"/>
  <c r="AQ9" i="13"/>
  <c r="AP9" i="13"/>
  <c r="AO9" i="13"/>
  <c r="AN9" i="13"/>
  <c r="AM9" i="13"/>
  <c r="AL9" i="13"/>
  <c r="E20" i="13" s="1"/>
  <c r="AK9" i="13"/>
  <c r="AJ9" i="13"/>
  <c r="AQ8" i="13"/>
  <c r="AP8" i="13"/>
  <c r="AO8" i="13"/>
  <c r="AN8" i="13"/>
  <c r="AM8" i="13"/>
  <c r="AL8" i="13"/>
  <c r="E19" i="13" s="1"/>
  <c r="AK8" i="13"/>
  <c r="AJ8" i="13"/>
  <c r="AQ7" i="13"/>
  <c r="AP7" i="13"/>
  <c r="AO7" i="13"/>
  <c r="AN7" i="13"/>
  <c r="AM7" i="13"/>
  <c r="AL7" i="13"/>
  <c r="E18" i="13" s="1"/>
  <c r="AK7" i="13"/>
  <c r="AJ7" i="13"/>
  <c r="AQ6" i="13"/>
  <c r="AP6" i="13"/>
  <c r="AO6" i="13"/>
  <c r="AN6" i="13"/>
  <c r="AM6" i="13"/>
  <c r="AL6" i="13"/>
  <c r="E17" i="13" s="1"/>
  <c r="AK6" i="13"/>
  <c r="AJ6" i="13"/>
  <c r="AF12" i="13"/>
  <c r="AE12" i="13"/>
  <c r="AD12" i="13"/>
  <c r="AC12" i="13"/>
  <c r="AB12" i="13"/>
  <c r="AA12" i="13"/>
  <c r="D23" i="13" s="1"/>
  <c r="Z12" i="13"/>
  <c r="Y12" i="13"/>
  <c r="AF11" i="13"/>
  <c r="AE11" i="13"/>
  <c r="AD11" i="13"/>
  <c r="AC11" i="13"/>
  <c r="AB11" i="13"/>
  <c r="AA11" i="13"/>
  <c r="D22" i="13" s="1"/>
  <c r="Z11" i="13"/>
  <c r="Y11" i="13"/>
  <c r="AF10" i="13"/>
  <c r="AE10" i="13"/>
  <c r="AD10" i="13"/>
  <c r="AC10" i="13"/>
  <c r="AB10" i="13"/>
  <c r="AA10" i="13"/>
  <c r="D21" i="13" s="1"/>
  <c r="Z10" i="13"/>
  <c r="Y10" i="13"/>
  <c r="AF9" i="13"/>
  <c r="AE9" i="13"/>
  <c r="AD9" i="13"/>
  <c r="AC9" i="13"/>
  <c r="AB9" i="13"/>
  <c r="AA9" i="13"/>
  <c r="D20" i="13" s="1"/>
  <c r="Z9" i="13"/>
  <c r="Y9" i="13"/>
  <c r="AF8" i="13"/>
  <c r="AE8" i="13"/>
  <c r="AD8" i="13"/>
  <c r="AC8" i="13"/>
  <c r="AB8" i="13"/>
  <c r="AA8" i="13"/>
  <c r="D19" i="13" s="1"/>
  <c r="Z8" i="13"/>
  <c r="Y8" i="13"/>
  <c r="AF7" i="13"/>
  <c r="AE7" i="13"/>
  <c r="AD7" i="13"/>
  <c r="AC7" i="13"/>
  <c r="AB7" i="13"/>
  <c r="AA7" i="13"/>
  <c r="D18" i="13" s="1"/>
  <c r="Z7" i="13"/>
  <c r="Y7" i="13"/>
  <c r="AF6" i="13"/>
  <c r="AE6" i="13"/>
  <c r="AD6" i="13"/>
  <c r="AC6" i="13"/>
  <c r="AB6" i="13"/>
  <c r="AA6" i="13"/>
  <c r="D17" i="13" s="1"/>
  <c r="Z6" i="13"/>
  <c r="Y6" i="13"/>
  <c r="U12" i="13"/>
  <c r="T12" i="13"/>
  <c r="S12" i="13"/>
  <c r="R12" i="13"/>
  <c r="Q12" i="13"/>
  <c r="P12" i="13"/>
  <c r="C23" i="13" s="1"/>
  <c r="O12" i="13"/>
  <c r="N12" i="13"/>
  <c r="U11" i="13"/>
  <c r="T11" i="13"/>
  <c r="S11" i="13"/>
  <c r="R11" i="13"/>
  <c r="Q11" i="13"/>
  <c r="P11" i="13"/>
  <c r="C22" i="13" s="1"/>
  <c r="O11" i="13"/>
  <c r="N11" i="13"/>
  <c r="U10" i="13"/>
  <c r="T10" i="13"/>
  <c r="S10" i="13"/>
  <c r="R10" i="13"/>
  <c r="Q10" i="13"/>
  <c r="P10" i="13"/>
  <c r="C21" i="13" s="1"/>
  <c r="O10" i="13"/>
  <c r="N10" i="13"/>
  <c r="U9" i="13"/>
  <c r="T9" i="13"/>
  <c r="S9" i="13"/>
  <c r="R9" i="13"/>
  <c r="Q9" i="13"/>
  <c r="P9" i="13"/>
  <c r="C20" i="13" s="1"/>
  <c r="O9" i="13"/>
  <c r="N9" i="13"/>
  <c r="U8" i="13"/>
  <c r="T8" i="13"/>
  <c r="S8" i="13"/>
  <c r="R8" i="13"/>
  <c r="Q8" i="13"/>
  <c r="P8" i="13"/>
  <c r="C19" i="13" s="1"/>
  <c r="O8" i="13"/>
  <c r="N8" i="13"/>
  <c r="U7" i="13"/>
  <c r="T7" i="13"/>
  <c r="S7" i="13"/>
  <c r="R7" i="13"/>
  <c r="Q7" i="13"/>
  <c r="P7" i="13"/>
  <c r="C18" i="13" s="1"/>
  <c r="O7" i="13"/>
  <c r="N7" i="13"/>
  <c r="U6" i="13"/>
  <c r="T6" i="13"/>
  <c r="S6" i="13"/>
  <c r="R6" i="13"/>
  <c r="Q6" i="13"/>
  <c r="P6" i="13"/>
  <c r="C17" i="13" s="1"/>
  <c r="N6" i="13"/>
  <c r="O6" i="13"/>
  <c r="I12" i="13"/>
  <c r="H12" i="13"/>
  <c r="G12" i="13"/>
  <c r="F12" i="13"/>
  <c r="I11" i="13"/>
  <c r="H11" i="13"/>
  <c r="G11" i="13"/>
  <c r="F11" i="13"/>
  <c r="I10" i="13"/>
  <c r="H10" i="13"/>
  <c r="G10" i="13"/>
  <c r="F10" i="13"/>
  <c r="I9" i="13"/>
  <c r="H9" i="13"/>
  <c r="G9" i="13"/>
  <c r="F9" i="13"/>
  <c r="I8" i="13"/>
  <c r="H8" i="13"/>
  <c r="G8" i="13"/>
  <c r="F8" i="13"/>
  <c r="I7" i="13"/>
  <c r="H7" i="13"/>
  <c r="G7" i="13"/>
  <c r="F7" i="13"/>
  <c r="I6" i="13"/>
  <c r="H6" i="13"/>
  <c r="G6" i="13"/>
  <c r="F6" i="13"/>
  <c r="D11" i="13"/>
  <c r="D10" i="13"/>
  <c r="D9" i="13"/>
  <c r="D8" i="13"/>
  <c r="D7" i="13"/>
  <c r="D12" i="13"/>
  <c r="J12" i="13"/>
  <c r="E12" i="13"/>
  <c r="B23" i="13" s="1"/>
  <c r="C12" i="13"/>
  <c r="J11" i="13"/>
  <c r="E11" i="13"/>
  <c r="B22" i="13" s="1"/>
  <c r="C11" i="13"/>
  <c r="J10" i="13"/>
  <c r="E10" i="13"/>
  <c r="B21" i="13" s="1"/>
  <c r="C10" i="13"/>
  <c r="J9" i="13"/>
  <c r="E9" i="13"/>
  <c r="B20" i="13" s="1"/>
  <c r="C9" i="13"/>
  <c r="J8" i="13"/>
  <c r="E8" i="13"/>
  <c r="B19" i="13" s="1"/>
  <c r="C8" i="13"/>
  <c r="J7" i="13"/>
  <c r="E7" i="13"/>
  <c r="B18" i="13" s="1"/>
  <c r="C7" i="13"/>
  <c r="E6" i="13"/>
  <c r="B17" i="13" s="1"/>
  <c r="D6" i="13"/>
  <c r="C6" i="13"/>
  <c r="Q9" i="44"/>
  <c r="S3" i="44"/>
  <c r="S4" i="44"/>
  <c r="S5" i="44"/>
  <c r="S6" i="44"/>
  <c r="S7" i="44"/>
  <c r="S8" i="44"/>
  <c r="S2" i="44"/>
  <c r="P9" i="44"/>
  <c r="R9" i="44"/>
  <c r="O9" i="44"/>
  <c r="S9" i="44" s="1"/>
  <c r="T8" i="44"/>
  <c r="T7" i="44"/>
  <c r="T6" i="44"/>
  <c r="T5" i="44"/>
  <c r="T4" i="44"/>
  <c r="T3" i="44"/>
  <c r="T2" i="44"/>
  <c r="AD4" i="31"/>
  <c r="AC4" i="31" s="1"/>
  <c r="AG387" i="31"/>
  <c r="AG376" i="31"/>
  <c r="AG346" i="31"/>
  <c r="AG324" i="31"/>
  <c r="AG320" i="31"/>
  <c r="AG302" i="31"/>
  <c r="AG282" i="31"/>
  <c r="AG275" i="31"/>
  <c r="AG257" i="31"/>
  <c r="AG241" i="31"/>
  <c r="AG227" i="31"/>
  <c r="AG193" i="31"/>
  <c r="AG184" i="31"/>
  <c r="AG177" i="31"/>
  <c r="AG157" i="31"/>
  <c r="AG142" i="31"/>
  <c r="AG135" i="31"/>
  <c r="AG131" i="31"/>
  <c r="AG98" i="31"/>
  <c r="AG88" i="31"/>
  <c r="AG81" i="31"/>
  <c r="AG73" i="31"/>
  <c r="AG58" i="31"/>
  <c r="AG53" i="31"/>
  <c r="AG50" i="31"/>
  <c r="AG37" i="31"/>
  <c r="AG34" i="31"/>
  <c r="AG30" i="31"/>
  <c r="AG23" i="31"/>
  <c r="AG11" i="31"/>
  <c r="AG4" i="31"/>
  <c r="AH4" i="31"/>
  <c r="AF4" i="31" s="1"/>
  <c r="AL387" i="31"/>
  <c r="AL376" i="31"/>
  <c r="AL346" i="31"/>
  <c r="AL324" i="31"/>
  <c r="AL320" i="31"/>
  <c r="AL302" i="31"/>
  <c r="AL282" i="31"/>
  <c r="AL275" i="31"/>
  <c r="AL257" i="31"/>
  <c r="AL241" i="31"/>
  <c r="AL227" i="31"/>
  <c r="AL193" i="31"/>
  <c r="AL184" i="31"/>
  <c r="AL177" i="31"/>
  <c r="AL157" i="31"/>
  <c r="AL142" i="31"/>
  <c r="AL135" i="31"/>
  <c r="AL131" i="31"/>
  <c r="AL98" i="31"/>
  <c r="AL88" i="31"/>
  <c r="AL81" i="31"/>
  <c r="AL73" i="31"/>
  <c r="AL58" i="31"/>
  <c r="AL53" i="31"/>
  <c r="AL50" i="31"/>
  <c r="AL37" i="31"/>
  <c r="AL34" i="31"/>
  <c r="AL30" i="31"/>
  <c r="AJ387" i="31"/>
  <c r="AJ376" i="31"/>
  <c r="AJ346" i="31"/>
  <c r="AJ324" i="31"/>
  <c r="AJ320" i="31"/>
  <c r="AJ302" i="31"/>
  <c r="AJ282" i="31"/>
  <c r="AJ275" i="31"/>
  <c r="AJ257" i="31"/>
  <c r="AJ241" i="31"/>
  <c r="AJ227" i="31"/>
  <c r="AJ193" i="31"/>
  <c r="AJ184" i="31"/>
  <c r="AJ177" i="31"/>
  <c r="AJ157" i="31"/>
  <c r="AJ142" i="31"/>
  <c r="AJ135" i="31"/>
  <c r="AJ131" i="31"/>
  <c r="AJ98" i="31"/>
  <c r="AJ88" i="31"/>
  <c r="AJ81" i="31"/>
  <c r="AJ73" i="31"/>
  <c r="AJ58" i="31"/>
  <c r="AJ53" i="31"/>
  <c r="AJ50" i="31"/>
  <c r="AJ37" i="31"/>
  <c r="AJ34" i="31"/>
  <c r="AJ30" i="31"/>
  <c r="AJ23" i="31"/>
  <c r="AJ11" i="31"/>
  <c r="AJ4" i="31"/>
  <c r="AH387" i="31"/>
  <c r="AH376" i="31"/>
  <c r="AH346" i="31"/>
  <c r="AH324" i="31"/>
  <c r="AH320" i="31"/>
  <c r="AH302" i="31"/>
  <c r="AH282" i="31"/>
  <c r="AH275" i="31"/>
  <c r="AH257" i="31"/>
  <c r="AH241" i="31"/>
  <c r="AH227" i="31"/>
  <c r="AH193" i="31"/>
  <c r="AH184" i="31"/>
  <c r="AH177" i="31"/>
  <c r="AH157" i="31"/>
  <c r="AH142" i="31"/>
  <c r="AH135" i="31"/>
  <c r="AH131" i="31"/>
  <c r="AH98" i="31"/>
  <c r="AH88" i="31"/>
  <c r="AH81" i="31"/>
  <c r="AH73" i="31"/>
  <c r="AH58" i="31"/>
  <c r="AH53" i="31"/>
  <c r="AH50" i="31"/>
  <c r="AH37" i="31"/>
  <c r="AH34" i="31"/>
  <c r="AH30" i="31"/>
  <c r="AH23" i="31"/>
  <c r="AF23" i="31" s="1"/>
  <c r="AH11" i="31"/>
  <c r="AF11" i="31" s="1"/>
  <c r="AI23" i="31"/>
  <c r="AI11" i="31"/>
  <c r="AI4" i="31"/>
  <c r="AE4" i="31"/>
  <c r="AE23" i="31"/>
  <c r="AE11" i="31"/>
  <c r="AD11" i="31"/>
  <c r="AC11" i="31" s="1"/>
  <c r="J6" i="13"/>
  <c r="AD23" i="31"/>
  <c r="AC23" i="31" s="1"/>
  <c r="Z336" i="34"/>
  <c r="Z325" i="34"/>
  <c r="Z216" i="34"/>
  <c r="E33" i="46" l="1"/>
  <c r="C35" i="46"/>
  <c r="B37" i="46"/>
  <c r="D33" i="46"/>
  <c r="C36" i="46"/>
  <c r="C34" i="46"/>
  <c r="D34" i="46"/>
  <c r="B36" i="46"/>
  <c r="E34" i="46"/>
  <c r="E32" i="46"/>
  <c r="B35" i="46"/>
  <c r="C38" i="46"/>
  <c r="D31" i="46"/>
  <c r="C32" i="46"/>
  <c r="E31" i="46"/>
  <c r="D38" i="46"/>
  <c r="C31" i="46"/>
  <c r="B32" i="46"/>
  <c r="E37" i="46"/>
  <c r="E35" i="46"/>
  <c r="B31" i="46"/>
  <c r="D35" i="46"/>
  <c r="E36" i="46"/>
  <c r="D36" i="46"/>
  <c r="B34" i="46"/>
  <c r="D37" i="46"/>
  <c r="AK347" i="31"/>
  <c r="AK355" i="31"/>
  <c r="AK71" i="31"/>
  <c r="AK171" i="31"/>
  <c r="AK243" i="31"/>
  <c r="AK279" i="31"/>
  <c r="AK18" i="31"/>
  <c r="AK27" i="31"/>
  <c r="AK38" i="31"/>
  <c r="AK46" i="31"/>
  <c r="AK56" i="31"/>
  <c r="AK65" i="31"/>
  <c r="AK110" i="31"/>
  <c r="AK114" i="31"/>
  <c r="AK118" i="31"/>
  <c r="AK403" i="31"/>
  <c r="AK169" i="31"/>
  <c r="AK192" i="31"/>
  <c r="AK245" i="31"/>
  <c r="AK259" i="31"/>
  <c r="AK246" i="31"/>
  <c r="AK254" i="31"/>
  <c r="AK264" i="31"/>
  <c r="AK272" i="31"/>
  <c r="AK283" i="31"/>
  <c r="AK291" i="31"/>
  <c r="AK301" i="31"/>
  <c r="AK310" i="31"/>
  <c r="AK318" i="31"/>
  <c r="AK329" i="31"/>
  <c r="AK339" i="31"/>
  <c r="AK350" i="31"/>
  <c r="AK358" i="31"/>
  <c r="AK366" i="31"/>
  <c r="AK374" i="31"/>
  <c r="AK379" i="31"/>
  <c r="AK384" i="31"/>
  <c r="AK395" i="31"/>
  <c r="AK407" i="31"/>
  <c r="AK417" i="31"/>
  <c r="AK100" i="31"/>
  <c r="AK108" i="31"/>
  <c r="AK221" i="31"/>
  <c r="AK258" i="31"/>
  <c r="AK262" i="31"/>
  <c r="AK280" i="31"/>
  <c r="AK377" i="31"/>
  <c r="AK19" i="31"/>
  <c r="AK103" i="31"/>
  <c r="AK137" i="31"/>
  <c r="AK288" i="31"/>
  <c r="AK261" i="31"/>
  <c r="AK296" i="31"/>
  <c r="AK307" i="31"/>
  <c r="AK315" i="31"/>
  <c r="AK326" i="31"/>
  <c r="AC410" i="31"/>
  <c r="AK336" i="31"/>
  <c r="AK371" i="31"/>
  <c r="AK189" i="31"/>
  <c r="AK224" i="31"/>
  <c r="AK263" i="31"/>
  <c r="AK338" i="31"/>
  <c r="AK373" i="31"/>
  <c r="AK12" i="31"/>
  <c r="AK20" i="31"/>
  <c r="AK29" i="31"/>
  <c r="AK40" i="31"/>
  <c r="AK48" i="31"/>
  <c r="AK59" i="31"/>
  <c r="AK67" i="31"/>
  <c r="AK76" i="31"/>
  <c r="AK85" i="31"/>
  <c r="AK95" i="31"/>
  <c r="AK104" i="31"/>
  <c r="AK112" i="31"/>
  <c r="AK120" i="31"/>
  <c r="AK128" i="31"/>
  <c r="AK138" i="31"/>
  <c r="AK147" i="31"/>
  <c r="AK165" i="31"/>
  <c r="AK173" i="31"/>
  <c r="AK182" i="31"/>
  <c r="AC338" i="31"/>
  <c r="AK226" i="31"/>
  <c r="AK269" i="31"/>
  <c r="AK380" i="31"/>
  <c r="AC248" i="31"/>
  <c r="AK199" i="31"/>
  <c r="AK233" i="31"/>
  <c r="AK271" i="31"/>
  <c r="AK349" i="31"/>
  <c r="AK383" i="31"/>
  <c r="AC238" i="31"/>
  <c r="AK201" i="31"/>
  <c r="AK235" i="31"/>
  <c r="AK392" i="31"/>
  <c r="AK207" i="31"/>
  <c r="AK281" i="31"/>
  <c r="AK357" i="31"/>
  <c r="AK394" i="31"/>
  <c r="AK26" i="31"/>
  <c r="AK41" i="31"/>
  <c r="AK49" i="31"/>
  <c r="AK77" i="31"/>
  <c r="AK134" i="31"/>
  <c r="AK144" i="31"/>
  <c r="AK158" i="31"/>
  <c r="AK170" i="31"/>
  <c r="AK223" i="31"/>
  <c r="AK237" i="31"/>
  <c r="AK274" i="31"/>
  <c r="AK415" i="31"/>
  <c r="AK209" i="31"/>
  <c r="AK251" i="31"/>
  <c r="AK363" i="31"/>
  <c r="AK218" i="31"/>
  <c r="AK216" i="31"/>
  <c r="AK253" i="31"/>
  <c r="AK290" i="31"/>
  <c r="AK365" i="31"/>
  <c r="AK406" i="31"/>
  <c r="AK9" i="31"/>
  <c r="AK74" i="31"/>
  <c r="AK83" i="31"/>
  <c r="AK92" i="31"/>
  <c r="AK102" i="31"/>
  <c r="AK126" i="31"/>
  <c r="AK136" i="31"/>
  <c r="AK145" i="31"/>
  <c r="AK153" i="31"/>
  <c r="AK163" i="31"/>
  <c r="AK180" i="31"/>
  <c r="AK412" i="31"/>
  <c r="AC412" i="31"/>
  <c r="AK10" i="31"/>
  <c r="AK28" i="31"/>
  <c r="AK39" i="31"/>
  <c r="AK47" i="31"/>
  <c r="AK57" i="31"/>
  <c r="AK66" i="31"/>
  <c r="AK75" i="31"/>
  <c r="AK84" i="31"/>
  <c r="AK93" i="31"/>
  <c r="AK111" i="31"/>
  <c r="AK119" i="31"/>
  <c r="AK127" i="31"/>
  <c r="AK146" i="31"/>
  <c r="AK154" i="31"/>
  <c r="AK164" i="31"/>
  <c r="AK172" i="31"/>
  <c r="AK181" i="31"/>
  <c r="AK191" i="31"/>
  <c r="AK200" i="31"/>
  <c r="AK208" i="31"/>
  <c r="AK217" i="31"/>
  <c r="AK225" i="31"/>
  <c r="AK234" i="31"/>
  <c r="AK244" i="31"/>
  <c r="AK252" i="31"/>
  <c r="AK270" i="31"/>
  <c r="AK289" i="31"/>
  <c r="AK297" i="31"/>
  <c r="AK308" i="31"/>
  <c r="AK316" i="31"/>
  <c r="AK327" i="31"/>
  <c r="AK337" i="31"/>
  <c r="AK348" i="31"/>
  <c r="AK356" i="31"/>
  <c r="AK364" i="31"/>
  <c r="AK372" i="31"/>
  <c r="AK381" i="31"/>
  <c r="AK393" i="31"/>
  <c r="AK404" i="31"/>
  <c r="AK413" i="31"/>
  <c r="AK13" i="31"/>
  <c r="AK21" i="31"/>
  <c r="AK31" i="31"/>
  <c r="AK60" i="31"/>
  <c r="AK68" i="31"/>
  <c r="AK86" i="31"/>
  <c r="AK96" i="31"/>
  <c r="AK105" i="31"/>
  <c r="AK113" i="31"/>
  <c r="AK121" i="31"/>
  <c r="AK129" i="31"/>
  <c r="AK139" i="31"/>
  <c r="AK148" i="31"/>
  <c r="AK166" i="31"/>
  <c r="AK174" i="31"/>
  <c r="AK183" i="31"/>
  <c r="AK194" i="31"/>
  <c r="AK202" i="31"/>
  <c r="AK210" i="31"/>
  <c r="AK219" i="31"/>
  <c r="AK228" i="31"/>
  <c r="AK5" i="31"/>
  <c r="AK14" i="31"/>
  <c r="AK22" i="31"/>
  <c r="AK32" i="31"/>
  <c r="AK42" i="31"/>
  <c r="AK51" i="31"/>
  <c r="AK61" i="31"/>
  <c r="AK69" i="31"/>
  <c r="AK78" i="31"/>
  <c r="AK87" i="31"/>
  <c r="AK97" i="31"/>
  <c r="AK106" i="31"/>
  <c r="AK122" i="31"/>
  <c r="AK130" i="31"/>
  <c r="AK140" i="31"/>
  <c r="AK149" i="31"/>
  <c r="AK159" i="31"/>
  <c r="AK167" i="31"/>
  <c r="AK175" i="31"/>
  <c r="AK185" i="31"/>
  <c r="AK195" i="31"/>
  <c r="AK203" i="31"/>
  <c r="AK211" i="31"/>
  <c r="AK220" i="31"/>
  <c r="AK229" i="31"/>
  <c r="AK238" i="31"/>
  <c r="AK247" i="31"/>
  <c r="AK255" i="31"/>
  <c r="AK265" i="31"/>
  <c r="AK284" i="31"/>
  <c r="AK292" i="31"/>
  <c r="AK303" i="31"/>
  <c r="AK311" i="31"/>
  <c r="AK321" i="31"/>
  <c r="AK330" i="31"/>
  <c r="AK340" i="31"/>
  <c r="AK351" i="31"/>
  <c r="AK359" i="31"/>
  <c r="AK367" i="31"/>
  <c r="AK375" i="31"/>
  <c r="AK385" i="31"/>
  <c r="AK396" i="31"/>
  <c r="AK408" i="31"/>
  <c r="AK418" i="31"/>
  <c r="AK300" i="31"/>
  <c r="AK6" i="31"/>
  <c r="AK15" i="31"/>
  <c r="AK24" i="31"/>
  <c r="AK33" i="31"/>
  <c r="AK43" i="31"/>
  <c r="AK52" i="31"/>
  <c r="AK62" i="31"/>
  <c r="AK70" i="31"/>
  <c r="AK79" i="31"/>
  <c r="AK89" i="31"/>
  <c r="AK99" i="31"/>
  <c r="AK107" i="31"/>
  <c r="AK115" i="31"/>
  <c r="AK123" i="31"/>
  <c r="AK132" i="31"/>
  <c r="AK141" i="31"/>
  <c r="AK150" i="31"/>
  <c r="AK160" i="31"/>
  <c r="AK168" i="31"/>
  <c r="AK176" i="31"/>
  <c r="AK186" i="31"/>
  <c r="AK196" i="31"/>
  <c r="AK204" i="31"/>
  <c r="AK212" i="31"/>
  <c r="AK230" i="31"/>
  <c r="AK239" i="31"/>
  <c r="AK248" i="31"/>
  <c r="AK266" i="31"/>
  <c r="AK276" i="31"/>
  <c r="AK285" i="31"/>
  <c r="AK293" i="31"/>
  <c r="AK304" i="31"/>
  <c r="AK312" i="31"/>
  <c r="AK322" i="31"/>
  <c r="AK331" i="31"/>
  <c r="AK341" i="31"/>
  <c r="AK352" i="31"/>
  <c r="AK360" i="31"/>
  <c r="AK368" i="31"/>
  <c r="AK397" i="31"/>
  <c r="AK409" i="31"/>
  <c r="AK420" i="31"/>
  <c r="AC187" i="31"/>
  <c r="AK7" i="31"/>
  <c r="AK16" i="31"/>
  <c r="AK25" i="31"/>
  <c r="AK35" i="31"/>
  <c r="AK44" i="31"/>
  <c r="AK54" i="31"/>
  <c r="AK63" i="31"/>
  <c r="AK80" i="31"/>
  <c r="AK90" i="31"/>
  <c r="AK116" i="31"/>
  <c r="AK124" i="31"/>
  <c r="AK133" i="31"/>
  <c r="AK143" i="31"/>
  <c r="AK151" i="31"/>
  <c r="AK161" i="31"/>
  <c r="AK178" i="31"/>
  <c r="AK187" i="31"/>
  <c r="AK197" i="31"/>
  <c r="AK205" i="31"/>
  <c r="AK213" i="31"/>
  <c r="AK231" i="31"/>
  <c r="AK240" i="31"/>
  <c r="AK249" i="31"/>
  <c r="AK267" i="31"/>
  <c r="AK277" i="31"/>
  <c r="AK286" i="31"/>
  <c r="AK294" i="31"/>
  <c r="AK305" i="31"/>
  <c r="AK313" i="31"/>
  <c r="AK323" i="31"/>
  <c r="AK333" i="31"/>
  <c r="AK344" i="31"/>
  <c r="AK353" i="31"/>
  <c r="AK361" i="31"/>
  <c r="AK369" i="31"/>
  <c r="AK378" i="31"/>
  <c r="AK389" i="31"/>
  <c r="AK398" i="31"/>
  <c r="AK410" i="31"/>
  <c r="AK421" i="31"/>
  <c r="AK309" i="31"/>
  <c r="AK317" i="31"/>
  <c r="AK328" i="31"/>
  <c r="AK8" i="31"/>
  <c r="AK17" i="31"/>
  <c r="AK36" i="31"/>
  <c r="AK45" i="31"/>
  <c r="AK55" i="31"/>
  <c r="AK64" i="31"/>
  <c r="AK72" i="31"/>
  <c r="AK82" i="31"/>
  <c r="AK91" i="31"/>
  <c r="AK101" i="31"/>
  <c r="AK109" i="31"/>
  <c r="AK117" i="31"/>
  <c r="AK125" i="31"/>
  <c r="AK152" i="31"/>
  <c r="AK162" i="31"/>
  <c r="AK188" i="31"/>
  <c r="AK198" i="31"/>
  <c r="AK206" i="31"/>
  <c r="AK232" i="31"/>
  <c r="AK242" i="31"/>
  <c r="AK250" i="31"/>
  <c r="AK268" i="31"/>
  <c r="AK278" i="31"/>
  <c r="AK287" i="31"/>
  <c r="AK295" i="31"/>
  <c r="AK306" i="31"/>
  <c r="AK314" i="31"/>
  <c r="AK325" i="31"/>
  <c r="AK334" i="31"/>
  <c r="AK345" i="31"/>
  <c r="AK354" i="31"/>
  <c r="AK362" i="31"/>
  <c r="AK370" i="31"/>
  <c r="AK391" i="31"/>
  <c r="AK399" i="31"/>
  <c r="AK411" i="31"/>
  <c r="AK432" i="31"/>
  <c r="AL268" i="31"/>
  <c r="AC80" i="31"/>
  <c r="AC86" i="31"/>
  <c r="AC333" i="31"/>
  <c r="AL95" i="31"/>
  <c r="AC393" i="31"/>
  <c r="AC411" i="31"/>
  <c r="AC232" i="31"/>
  <c r="AL251" i="31"/>
  <c r="AC222" i="31"/>
  <c r="AC277" i="31"/>
  <c r="AC361" i="31"/>
  <c r="AL59" i="31"/>
  <c r="AC69" i="31"/>
  <c r="AC109" i="31"/>
  <c r="AC276" i="31"/>
  <c r="AL306" i="31"/>
  <c r="AL40" i="31"/>
  <c r="AC84" i="31"/>
  <c r="AC87" i="31"/>
  <c r="AC96" i="31"/>
  <c r="AL204" i="31"/>
  <c r="AC297" i="31"/>
  <c r="AC375" i="31"/>
  <c r="AC21" i="31"/>
  <c r="AL91" i="31"/>
  <c r="AC93" i="31"/>
  <c r="AL146" i="31"/>
  <c r="AC148" i="31"/>
  <c r="AC205" i="31"/>
  <c r="AL314" i="31"/>
  <c r="AK94" i="31"/>
  <c r="AL14" i="31"/>
  <c r="AL19" i="31"/>
  <c r="AC107" i="31"/>
  <c r="AC124" i="31"/>
  <c r="AL208" i="31"/>
  <c r="AC315" i="31"/>
  <c r="AC316" i="31"/>
  <c r="AL371" i="31"/>
  <c r="AL13" i="31"/>
  <c r="AL48" i="31"/>
  <c r="AC123" i="31"/>
  <c r="AL139" i="31"/>
  <c r="AC174" i="31"/>
  <c r="AL191" i="31"/>
  <c r="AC372" i="31"/>
  <c r="AC408" i="31"/>
  <c r="AL12" i="31"/>
  <c r="AC75" i="31"/>
  <c r="AC76" i="31"/>
  <c r="AC121" i="31"/>
  <c r="AC344" i="31"/>
  <c r="AL355" i="31"/>
  <c r="AC397" i="31"/>
  <c r="AL406" i="31"/>
  <c r="AC418" i="31"/>
  <c r="AL10" i="31"/>
  <c r="AL28" i="31"/>
  <c r="AL235" i="31"/>
  <c r="AC261" i="31"/>
  <c r="AL349" i="31"/>
  <c r="AC356" i="31"/>
  <c r="AL379" i="31"/>
  <c r="AC381" i="31"/>
  <c r="AL8" i="31"/>
  <c r="AC29" i="31"/>
  <c r="AL85" i="31"/>
  <c r="AC132" i="31"/>
  <c r="AC189" i="31"/>
  <c r="AL217" i="31"/>
  <c r="AC219" i="31"/>
  <c r="AC357" i="31"/>
  <c r="AC369" i="31"/>
  <c r="AC379" i="31"/>
  <c r="AC45" i="31"/>
  <c r="AC46" i="31"/>
  <c r="AC54" i="31"/>
  <c r="AC67" i="31"/>
  <c r="AL67" i="31"/>
  <c r="AL68" i="31"/>
  <c r="AC108" i="31"/>
  <c r="AL108" i="31"/>
  <c r="AL118" i="31"/>
  <c r="AC118" i="31"/>
  <c r="AL125" i="31"/>
  <c r="AC141" i="31"/>
  <c r="AL171" i="31"/>
  <c r="AC171" i="31"/>
  <c r="AL259" i="31"/>
  <c r="AC259" i="31"/>
  <c r="AL274" i="31"/>
  <c r="AC274" i="31"/>
  <c r="AL31" i="31"/>
  <c r="AC38" i="31"/>
  <c r="AC65" i="31"/>
  <c r="AL100" i="31"/>
  <c r="AC105" i="31"/>
  <c r="AC126" i="31"/>
  <c r="AC170" i="31"/>
  <c r="AC258" i="31"/>
  <c r="AL280" i="31"/>
  <c r="AC280" i="31"/>
  <c r="AC27" i="31"/>
  <c r="AL66" i="31"/>
  <c r="AL110" i="31"/>
  <c r="AC110" i="31"/>
  <c r="AL169" i="31"/>
  <c r="AC169" i="31"/>
  <c r="AL221" i="31"/>
  <c r="AC221" i="31"/>
  <c r="AC9" i="31"/>
  <c r="AL26" i="31"/>
  <c r="AC26" i="31"/>
  <c r="AC78" i="31"/>
  <c r="AL192" i="31"/>
  <c r="AC285" i="31"/>
  <c r="AL63" i="31"/>
  <c r="AL77" i="31"/>
  <c r="AC77" i="31"/>
  <c r="AL262" i="31"/>
  <c r="AC262" i="31"/>
  <c r="AC19" i="31"/>
  <c r="AC20" i="31"/>
  <c r="AL49" i="31"/>
  <c r="AC49" i="31"/>
  <c r="AC57" i="31"/>
  <c r="AC60" i="31"/>
  <c r="AC61" i="31"/>
  <c r="AL71" i="31"/>
  <c r="AC71" i="31"/>
  <c r="AC90" i="31"/>
  <c r="AC113" i="31"/>
  <c r="AC114" i="31"/>
  <c r="AC137" i="31"/>
  <c r="AC144" i="31"/>
  <c r="AL151" i="31"/>
  <c r="AL5" i="31"/>
  <c r="AC18" i="31"/>
  <c r="AL41" i="31"/>
  <c r="AC41" i="31"/>
  <c r="AC56" i="31"/>
  <c r="AC102" i="31"/>
  <c r="AC136" i="31"/>
  <c r="AL158" i="31"/>
  <c r="AC158" i="31"/>
  <c r="AC243" i="31"/>
  <c r="AL243" i="31"/>
  <c r="AC249" i="31"/>
  <c r="AC253" i="31"/>
  <c r="AC265" i="31"/>
  <c r="AC267" i="31"/>
  <c r="AC270" i="31"/>
  <c r="AC294" i="31"/>
  <c r="AC307" i="31"/>
  <c r="AC364" i="31"/>
  <c r="AL403" i="31"/>
  <c r="AL154" i="31"/>
  <c r="AL164" i="31"/>
  <c r="AL200" i="31"/>
  <c r="AC212" i="31"/>
  <c r="AC213" i="31"/>
  <c r="AL228" i="31"/>
  <c r="AC244" i="31"/>
  <c r="AL260" i="31"/>
  <c r="AC353" i="31"/>
  <c r="AC365" i="31"/>
  <c r="AC392" i="31"/>
  <c r="AC396" i="31"/>
  <c r="AC403" i="31"/>
  <c r="AC156" i="31"/>
  <c r="AL172" i="31"/>
  <c r="AL181" i="31"/>
  <c r="AC201" i="31"/>
  <c r="AC202" i="31"/>
  <c r="AC206" i="31"/>
  <c r="AL288" i="31"/>
  <c r="AC305" i="31"/>
  <c r="AC308" i="31"/>
  <c r="AL326" i="31"/>
  <c r="AC330" i="31"/>
  <c r="AC337" i="31"/>
  <c r="AC385" i="31"/>
  <c r="AC173" i="31"/>
  <c r="AC183" i="31"/>
  <c r="AC225" i="31"/>
  <c r="AC240" i="31"/>
  <c r="AC245" i="31"/>
  <c r="AL279" i="31"/>
  <c r="AC284" i="31"/>
  <c r="AC289" i="31"/>
  <c r="AC321" i="31"/>
  <c r="AC327" i="31"/>
  <c r="AC331" i="31"/>
  <c r="AL347" i="31"/>
  <c r="AC421" i="31"/>
  <c r="AC290" i="31"/>
  <c r="AC322" i="31"/>
  <c r="AC348" i="31"/>
  <c r="AC370" i="31"/>
  <c r="AC377" i="31"/>
  <c r="AC378" i="31"/>
  <c r="AC380" i="31"/>
  <c r="AC388" i="31"/>
  <c r="AC389" i="31"/>
  <c r="AC398" i="31"/>
  <c r="AC218" i="31"/>
  <c r="AC223" i="31"/>
  <c r="AC231" i="31"/>
  <c r="AC252" i="31"/>
  <c r="AC269" i="31"/>
  <c r="AC286" i="31"/>
  <c r="AC300" i="31"/>
  <c r="AC313" i="31"/>
  <c r="AC323" i="31"/>
  <c r="AL79" i="31"/>
  <c r="AL99" i="31"/>
  <c r="AC103" i="31"/>
  <c r="AL103" i="31"/>
  <c r="AL62" i="31"/>
  <c r="AL18" i="31"/>
  <c r="AC25" i="31"/>
  <c r="AL27" i="31"/>
  <c r="AC35" i="31"/>
  <c r="AL38" i="31"/>
  <c r="AC44" i="31"/>
  <c r="AL46" i="31"/>
  <c r="AL56" i="31"/>
  <c r="AL65" i="31"/>
  <c r="AL74" i="31"/>
  <c r="AL83" i="31"/>
  <c r="AL92" i="31"/>
  <c r="AC100" i="31"/>
  <c r="AL52" i="31"/>
  <c r="AL70" i="31"/>
  <c r="AL89" i="31"/>
  <c r="AC39" i="31"/>
  <c r="AC47" i="31"/>
  <c r="AL24" i="31"/>
  <c r="AL33" i="31"/>
  <c r="AC22" i="31"/>
  <c r="AC32" i="31"/>
  <c r="AC42" i="31"/>
  <c r="AC51" i="31"/>
  <c r="AC97" i="31"/>
  <c r="AC36" i="31"/>
  <c r="AC55" i="31"/>
  <c r="AC64" i="31"/>
  <c r="AC72" i="31"/>
  <c r="AC82" i="31"/>
  <c r="AC101" i="31"/>
  <c r="AL43" i="31"/>
  <c r="AL111" i="31"/>
  <c r="AC117" i="31"/>
  <c r="AL119" i="31"/>
  <c r="AL127" i="31"/>
  <c r="AC134" i="31"/>
  <c r="AL137" i="31"/>
  <c r="AL229" i="31"/>
  <c r="AL384" i="31"/>
  <c r="AC384" i="31"/>
  <c r="AL395" i="31"/>
  <c r="AC395" i="31"/>
  <c r="AC104" i="31"/>
  <c r="AL106" i="31"/>
  <c r="AC112" i="31"/>
  <c r="AL114" i="31"/>
  <c r="AC120" i="31"/>
  <c r="AL122" i="31"/>
  <c r="AC128" i="31"/>
  <c r="AL130" i="31"/>
  <c r="AC138" i="31"/>
  <c r="AL140" i="31"/>
  <c r="AC147" i="31"/>
  <c r="AL149" i="31"/>
  <c r="AL159" i="31"/>
  <c r="AC165" i="31"/>
  <c r="AL167" i="31"/>
  <c r="AL175" i="31"/>
  <c r="AC182" i="31"/>
  <c r="AL185" i="31"/>
  <c r="AC192" i="31"/>
  <c r="AL195" i="31"/>
  <c r="AL203" i="31"/>
  <c r="AC209" i="31"/>
  <c r="AL211" i="31"/>
  <c r="AL220" i="31"/>
  <c r="AC226" i="31"/>
  <c r="AL230" i="31"/>
  <c r="AL264" i="31"/>
  <c r="AC264" i="31"/>
  <c r="AL358" i="31"/>
  <c r="AC358" i="31"/>
  <c r="AC115" i="31"/>
  <c r="AL134" i="31"/>
  <c r="AL144" i="31"/>
  <c r="AC150" i="31"/>
  <c r="AL152" i="31"/>
  <c r="AC160" i="31"/>
  <c r="AL162" i="31"/>
  <c r="AC168" i="31"/>
  <c r="AL170" i="31"/>
  <c r="AC176" i="31"/>
  <c r="AL179" i="31"/>
  <c r="AC186" i="31"/>
  <c r="AL188" i="31"/>
  <c r="AC196" i="31"/>
  <c r="AL198" i="31"/>
  <c r="AL215" i="31"/>
  <c r="AL223" i="31"/>
  <c r="AL237" i="31"/>
  <c r="AC237" i="31"/>
  <c r="AL301" i="31"/>
  <c r="AC301" i="31"/>
  <c r="AL318" i="31"/>
  <c r="AC318" i="31"/>
  <c r="AL329" i="31"/>
  <c r="AC329" i="31"/>
  <c r="AC145" i="31"/>
  <c r="AC153" i="31"/>
  <c r="AC163" i="31"/>
  <c r="AC180" i="31"/>
  <c r="AC199" i="31"/>
  <c r="AC207" i="31"/>
  <c r="AC216" i="31"/>
  <c r="AC224" i="31"/>
  <c r="AL339" i="31"/>
  <c r="AC339" i="31"/>
  <c r="AC129" i="31"/>
  <c r="AC166" i="31"/>
  <c r="AC194" i="31"/>
  <c r="AC210" i="31"/>
  <c r="AL310" i="31"/>
  <c r="AC310" i="31"/>
  <c r="AL366" i="31"/>
  <c r="AC366" i="31"/>
  <c r="AL417" i="31"/>
  <c r="AC417" i="31"/>
  <c r="AC116" i="31"/>
  <c r="AC133" i="31"/>
  <c r="AC143" i="31"/>
  <c r="AC161" i="31"/>
  <c r="AC178" i="31"/>
  <c r="AC197" i="31"/>
  <c r="AL254" i="31"/>
  <c r="AC254" i="31"/>
  <c r="AL272" i="31"/>
  <c r="AC272" i="31"/>
  <c r="AL283" i="31"/>
  <c r="AC283" i="31"/>
  <c r="AL350" i="31"/>
  <c r="AC350" i="31"/>
  <c r="AL407" i="31"/>
  <c r="AC407" i="31"/>
  <c r="AL246" i="31"/>
  <c r="AC246" i="31"/>
  <c r="AL291" i="31"/>
  <c r="AC291" i="31"/>
  <c r="AL374" i="31"/>
  <c r="AC374" i="31"/>
  <c r="AC233" i="31"/>
  <c r="AL245" i="31"/>
  <c r="AL263" i="31"/>
  <c r="AL271" i="31"/>
  <c r="AC279" i="31"/>
  <c r="AL281" i="31"/>
  <c r="AC288" i="31"/>
  <c r="AC296" i="31"/>
  <c r="AL309" i="31"/>
  <c r="AL317" i="31"/>
  <c r="AC326" i="31"/>
  <c r="AL328" i="31"/>
  <c r="AC336" i="31"/>
  <c r="AC347" i="31"/>
  <c r="AC355" i="31"/>
  <c r="AC363" i="31"/>
  <c r="AL373" i="31"/>
  <c r="AL383" i="31"/>
  <c r="AL394" i="31"/>
  <c r="AL415" i="31"/>
  <c r="AL239" i="31"/>
  <c r="AL258" i="31"/>
  <c r="AL266" i="31"/>
  <c r="AL293" i="31"/>
  <c r="AL304" i="31"/>
  <c r="AL312" i="31"/>
  <c r="AL341" i="31"/>
  <c r="AL352" i="31"/>
  <c r="AL360" i="31"/>
  <c r="AL368" i="31"/>
  <c r="AL377" i="31"/>
  <c r="AL409" i="31"/>
  <c r="AL420" i="31"/>
  <c r="AC234" i="31"/>
  <c r="AC404" i="31"/>
  <c r="AC413" i="31"/>
  <c r="AC247" i="31"/>
  <c r="AC255" i="31"/>
  <c r="AC292" i="31"/>
  <c r="AC303" i="31"/>
  <c r="AC311" i="31"/>
  <c r="AC340" i="31"/>
  <c r="AC351" i="31"/>
  <c r="AC359" i="31"/>
  <c r="AC367" i="31"/>
  <c r="AC242" i="31"/>
  <c r="AC250" i="31"/>
  <c r="AC278" i="31"/>
  <c r="AC287" i="31"/>
  <c r="AC295" i="31"/>
  <c r="AC325" i="31"/>
  <c r="AC334" i="31"/>
  <c r="AC345" i="31"/>
  <c r="AC354" i="31"/>
  <c r="AC362" i="31"/>
  <c r="AC391" i="31"/>
  <c r="AC399" i="31"/>
  <c r="AC432" i="31"/>
  <c r="AL6" i="31"/>
  <c r="AL15" i="31"/>
  <c r="AC7" i="31"/>
  <c r="AC16" i="31"/>
  <c r="AC17" i="31"/>
  <c r="AK37" i="31"/>
  <c r="AK73" i="31"/>
  <c r="AK131" i="31"/>
  <c r="AK257" i="31"/>
  <c r="AK346" i="31"/>
  <c r="AK50" i="31"/>
  <c r="AK58" i="31"/>
  <c r="AK142" i="31"/>
  <c r="AK184" i="31"/>
  <c r="AK193" i="31"/>
  <c r="AK241" i="31"/>
  <c r="AK320" i="31"/>
  <c r="AK34" i="31"/>
  <c r="AK53" i="31"/>
  <c r="AK227" i="31"/>
  <c r="AK30" i="31"/>
  <c r="AK135" i="31"/>
  <c r="AK177" i="31"/>
  <c r="AK81" i="31"/>
  <c r="AK98" i="31"/>
  <c r="AK157" i="31"/>
  <c r="AK282" i="31"/>
  <c r="AK387" i="31"/>
  <c r="AK11" i="31"/>
  <c r="AK275" i="31"/>
  <c r="AK302" i="31"/>
  <c r="AK23" i="31"/>
  <c r="AK88" i="31"/>
  <c r="AK324" i="31"/>
  <c r="AK376" i="31"/>
  <c r="AL4" i="31"/>
  <c r="AL23" i="31"/>
  <c r="AL11" i="31"/>
  <c r="R10" i="31"/>
  <c r="AK215" i="31" l="1"/>
  <c r="E4" i="44"/>
  <c r="D4" i="44"/>
  <c r="E2" i="44"/>
  <c r="D2" i="44"/>
  <c r="AK156" i="31"/>
  <c r="E3" i="44"/>
  <c r="D3" i="44"/>
  <c r="AK4" i="31"/>
  <c r="D9" i="44"/>
  <c r="D5" i="44"/>
  <c r="D7" i="44"/>
  <c r="AK388" i="31"/>
  <c r="D6" i="44"/>
  <c r="AK222" i="31"/>
  <c r="AK179" i="31"/>
  <c r="D8" i="44"/>
  <c r="AK260" i="31"/>
  <c r="B6" i="44"/>
  <c r="B4" i="44"/>
  <c r="B3" i="44"/>
  <c r="B8" i="44"/>
  <c r="B5" i="44"/>
  <c r="B7" i="44"/>
  <c r="B2" i="44"/>
  <c r="B9" i="44"/>
</calcChain>
</file>

<file path=xl/sharedStrings.xml><?xml version="1.0" encoding="utf-8"?>
<sst xmlns="http://schemas.openxmlformats.org/spreadsheetml/2006/main" count="82033" uniqueCount="4083">
  <si>
    <t>Add additonal institution here</t>
  </si>
  <si>
    <t xml:space="preserve"> </t>
  </si>
  <si>
    <t>CSO Number</t>
  </si>
  <si>
    <t>Common Strategic Objective</t>
  </si>
  <si>
    <t>Progress of actions</t>
  </si>
  <si>
    <t>Breakdown of action required</t>
  </si>
  <si>
    <t>In progress</t>
  </si>
  <si>
    <t>Complete</t>
  </si>
  <si>
    <t>Not started</t>
  </si>
  <si>
    <t>Technical</t>
  </si>
  <si>
    <t>Training</t>
  </si>
  <si>
    <t>Legal</t>
  </si>
  <si>
    <t>Investment</t>
  </si>
  <si>
    <t>Funding requested (EURO)</t>
  </si>
  <si>
    <t xml:space="preserve">CSO 1 </t>
  </si>
  <si>
    <t xml:space="preserve">Prevent, prepare for, and respond to, operational, illegal and accidental oil and HNS pollution from ships </t>
  </si>
  <si>
    <t>CSO 2</t>
  </si>
  <si>
    <t xml:space="preserve">Promote and support the development and implementation of innovative global solutions to mitigate and respond to climate change </t>
  </si>
  <si>
    <t>CSO 3</t>
  </si>
  <si>
    <t xml:space="preserve">Reduce and monitor air emissions from ships to a level that is not harmful to the marine environment, or the health of the coastal population of the Mediterranean </t>
  </si>
  <si>
    <t>CSO 4</t>
  </si>
  <si>
    <t>Prevent and reduce litter (in particular plastic) entering the marine environment from ships, in order to limit the environmental, health, and socio-economic impact of marine litter in the Mediterranean</t>
  </si>
  <si>
    <t>CSO 5</t>
  </si>
  <si>
    <t xml:space="preserve">Eliminate the introduction of non-indigenous species by shipping activities </t>
  </si>
  <si>
    <t>CSO 6</t>
  </si>
  <si>
    <t>Achieve a well-managed safe and pollution free Mediterranean, with integrated marine spatial planning and designation of special areas, where shipping activity has a limited impact upon the marine environment</t>
  </si>
  <si>
    <t>CSO 7</t>
  </si>
  <si>
    <t>Identify and understand collectively emerging issues related to pollution from ships in the Mediterranean, and define required actions to address issues identified</t>
  </si>
  <si>
    <t>CSO</t>
  </si>
  <si>
    <t>Area of Influence</t>
  </si>
  <si>
    <t>Section</t>
  </si>
  <si>
    <t>Action Number</t>
  </si>
  <si>
    <t>Action Description</t>
  </si>
  <si>
    <t>Responsible national authority</t>
  </si>
  <si>
    <t>Responsible authority</t>
  </si>
  <si>
    <t>Indicator</t>
  </si>
  <si>
    <t>Target</t>
  </si>
  <si>
    <t>National Status</t>
  </si>
  <si>
    <t>Status remark</t>
  </si>
  <si>
    <t>Expected delivery (Year)</t>
  </si>
  <si>
    <t>Needs Type</t>
  </si>
  <si>
    <t>Needs remarks</t>
  </si>
  <si>
    <t>Estimated funding required (EURO)</t>
  </si>
  <si>
    <t xml:space="preserve">Any further comment (50 word limit) </t>
  </si>
  <si>
    <t>Activity Name</t>
  </si>
  <si>
    <t>Project Name</t>
  </si>
  <si>
    <t>Activity Description</t>
  </si>
  <si>
    <t>Responsible</t>
  </si>
  <si>
    <t>Status</t>
  </si>
  <si>
    <t>Activity Type</t>
  </si>
  <si>
    <t>Activity remarks</t>
  </si>
  <si>
    <t>Estimated budget (EURO)</t>
  </si>
  <si>
    <t>CSO 1 - PREVENT, PREPARE FOR, AND RESPOND TO OPERATIONAL, ILLEGAL AND ACCIDENTAL OIL AND HNS POLLUTION FROM SHIPS</t>
  </si>
  <si>
    <t>CSO 1</t>
  </si>
  <si>
    <t>PEOPLE</t>
  </si>
  <si>
    <t>1.1 Networks</t>
  </si>
  <si>
    <t>1.1.1</t>
  </si>
  <si>
    <t>To maintain and actively participate in the:</t>
  </si>
  <si>
    <t>CPs</t>
  </si>
  <si>
    <t>% of CPs having designated officials</t>
  </si>
  <si>
    <t>1.1.1a</t>
  </si>
  <si>
    <r>
      <rPr>
        <sz val="12"/>
        <color theme="1"/>
        <rFont val="Calibri"/>
        <family val="2"/>
      </rPr>
      <t xml:space="preserve">● </t>
    </r>
    <r>
      <rPr>
        <sz val="12"/>
        <color theme="1"/>
        <rFont val="Calibri Light"/>
        <family val="2"/>
        <scheme val="major"/>
      </rPr>
      <t>MENELAS</t>
    </r>
  </si>
  <si>
    <t>CPs / Stakeholders</t>
  </si>
  <si>
    <t>1.1.1b</t>
  </si>
  <si>
    <t>● Mediterranean Technical Working Group (MTWG)</t>
  </si>
  <si>
    <t>1.1.1c</t>
  </si>
  <si>
    <t>● Clean/SeaNet National Competent Authorities (CSN NCAs)</t>
  </si>
  <si>
    <t>1.1.1d</t>
  </si>
  <si>
    <t>● Mediterranean AIS Experts Working Group (MAREƩ EWG)</t>
  </si>
  <si>
    <t>1.1.2</t>
  </si>
  <si>
    <t>To capitalize on experience and on knowledge available in other sectors (e.g. knowledge sharing lessons learnt)</t>
  </si>
  <si>
    <t>Stakeholders</t>
  </si>
  <si>
    <t>Number of seminars, webinars, presentations from other sectors, etc</t>
  </si>
  <si>
    <t>At least 2 per year</t>
  </si>
  <si>
    <t>1.1.3</t>
  </si>
  <si>
    <t>To strengthen synergies between relevant networks including:
IMO Sub-Committee on Pollution Prevention and Response (PPR), MTWG, MENELAS, Consultative Technical Group for Marine Pollution Preparedness and Response (CTG MPPR), the Bonn Agreement and its Working Group on Operational, Technical and Scientific Questions Concerning Counter Pollution Activities (OTSOPA), Helsinki Commission (HELCOM), North Sea Network of investigators and Prosecutors (NSN), the Baltic Sea Network of Environmental Crime Prosecutors (ENPRO), NCAs, Inter-Secretariat Meeting, Union Civil Protection Mechanism (UCPM), The Union for the Mediterranean (UfM), Relevant EU Marine Strategy Framework Directive (MSFD) Expert Groups, including JRC Expert Group for descriptors 8 and 9, Joint Group of Experts on the Scientific Aspects of Marine Environmental Protection (GESAMP), MEDPAN, IUCN, MAP, SPA/RAC, and other institutions concerned with conservation, pollution abatement etc.</t>
  </si>
  <si>
    <t>Number of documents submitted</t>
  </si>
  <si>
    <t>1 activity report submitted to the various sessions on work carried out by other relevant networks</t>
  </si>
  <si>
    <t>1.1.4</t>
  </si>
  <si>
    <t>To foster peer learning (exchange of experts and meeting)</t>
  </si>
  <si>
    <t>Number of peer reviews in the region</t>
  </si>
  <si>
    <t>1.2 Capacity Building / Technical Cooperation</t>
  </si>
  <si>
    <t>1.2.1</t>
  </si>
  <si>
    <t>To increase as much as practical, the level of knowledge in the field of preparedness and response to accidental marine pollution by oil and other harmful substances by delivering trainings on the following subjects:</t>
  </si>
  <si>
    <t xml:space="preserve">Number of newly trained personnel </t>
  </si>
  <si>
    <t>2 newly trained personnel per country</t>
  </si>
  <si>
    <t>1.2.1a</t>
  </si>
  <si>
    <t>● IMO OPRC Model Courses (Level 1, 2 and 3)</t>
  </si>
  <si>
    <t>1.2.1b</t>
  </si>
  <si>
    <t>● IMO HNS Model Courses (Operational and Manager Level)</t>
  </si>
  <si>
    <t>1.2.1c</t>
  </si>
  <si>
    <t>● POSOW Model Courses (Train the trainer course, Volunteer management, Oiled Shoreline Assessment, Oiled Shoreline Cleanup, Oiled Wildlife response, Fishermen's Support in Oil Spill Response, Oil Spill Waste Management)</t>
  </si>
  <si>
    <t>1.2.1d</t>
  </si>
  <si>
    <t>● Waste Management</t>
  </si>
  <si>
    <t>1.2.1e</t>
  </si>
  <si>
    <t>● Surveillance and monitoring</t>
  </si>
  <si>
    <t>1.2.1f</t>
  </si>
  <si>
    <t>● MARPOL (Annex I, Annex II, Annex III and Annex IV)</t>
  </si>
  <si>
    <t>1.2.1g</t>
  </si>
  <si>
    <t xml:space="preserve">● IMO Port State Control Model Course </t>
  </si>
  <si>
    <t>1.2.1h</t>
  </si>
  <si>
    <t>● IMO Flag State Implementation Model Course</t>
  </si>
  <si>
    <t>1.2.1i</t>
  </si>
  <si>
    <t>● EUROWA model wildlife courses (BASIC Responder, ADVANCED Responder, SPECIALIST Responder, Manager, Wildlife Branch Director).</t>
  </si>
  <si>
    <t>1.2.2</t>
  </si>
  <si>
    <t>To attend workshops, seminars and trainings offered by REMPEC, EMSA and other established networks addressing other topics, for example:
Circular economy and Sustainable Consumption and Production measures applying to maritime transport and the main maritime business Leisure (pleasure and entertainment cruise business), harvesting of raw materials (oil and gas, offshore mining, fishing), logistics (shipping of food, energy, containers, bulk material) and infrastructure (ferries, local shipping, ports).</t>
  </si>
  <si>
    <t>% of CPs attending</t>
  </si>
  <si>
    <t>1.2.3</t>
  </si>
  <si>
    <t>To develop and implement (in cooperation with the chemical industry) multi-sectoral training and contigency planning in case of chemical pollution at sea, for decision makers, citizens and volunteers, on-shore responders, and port authorities.</t>
  </si>
  <si>
    <t>Training developed</t>
  </si>
  <si>
    <t>Year tbc</t>
  </si>
  <si>
    <t>1.2.4</t>
  </si>
  <si>
    <t>To increase awareness on and use of (if needed), the services offered by EMSA in support of the transposition, implementation, and Enforcement following the Ratification of International Conventions including IMSAS within the framework of the SAFEMED project, including:</t>
  </si>
  <si>
    <t xml:space="preserve">% of CPs aware of services offered </t>
  </si>
  <si>
    <t>1.2.4a</t>
  </si>
  <si>
    <t xml:space="preserve">● the enforcement and implementation of environment related international and European legislation </t>
  </si>
  <si>
    <t>1.2.4b</t>
  </si>
  <si>
    <t>● Earth Observation services developed and offered by EMSA</t>
  </si>
  <si>
    <t>1.2.4c</t>
  </si>
  <si>
    <t>● EMSA Remotely Piloted Aircrafts (RPAS) services developed to assist in maritime surveillance operations to support authorities involved in maritime pollution and emissions monitoring</t>
  </si>
  <si>
    <t xml:space="preserve">1.2.4d </t>
  </si>
  <si>
    <t>● Pollution Response Services offered by EMSA</t>
  </si>
  <si>
    <t>1.2.5</t>
  </si>
  <si>
    <t>To develop an e-learning platform on the prevention, preparedness and response to marine pollution</t>
  </si>
  <si>
    <t>e-learning platform developed</t>
  </si>
  <si>
    <t>1.2.6</t>
  </si>
  <si>
    <t>To enhance number of REMPEC Mediterranean Assistance Units (MAU) creating a network within MAU and CPs through REMPEC</t>
  </si>
  <si>
    <t>Number of MAU</t>
  </si>
  <si>
    <t xml:space="preserve">1.3 Operations </t>
  </si>
  <si>
    <t>1.3.1</t>
  </si>
  <si>
    <t>To organise annual / biennial national exercises (standard, table-top; communications) to test national response capabilities, cooperation and mutual assistance between Contracting Parties, REMPEC Mediterranean Assistance Unit (MAU), EMSA pollution response services (where applicable), private sector drills, etc.</t>
  </si>
  <si>
    <t>CPs/Stakeholders</t>
  </si>
  <si>
    <t>1.3.1a</t>
  </si>
  <si>
    <t>● full-scale national exercise</t>
  </si>
  <si>
    <t>Number of full-scale national exercise</t>
  </si>
  <si>
    <t>1 per year</t>
  </si>
  <si>
    <t>1.3.1b</t>
  </si>
  <si>
    <t>● communication exercise</t>
  </si>
  <si>
    <t>Number of communication exercise</t>
  </si>
  <si>
    <t xml:space="preserve">1 per year </t>
  </si>
  <si>
    <t>1.3.1c</t>
  </si>
  <si>
    <t>● table-top exercise</t>
  </si>
  <si>
    <t>Number of table-top exercise</t>
  </si>
  <si>
    <t>1 every two years</t>
  </si>
  <si>
    <t>1.3.2</t>
  </si>
  <si>
    <t>To organise sub-regional / regional / international exercises to test cooperation arrangements</t>
  </si>
  <si>
    <t>1.3.2a</t>
  </si>
  <si>
    <t>● drills and exercises</t>
  </si>
  <si>
    <t>Number of drills and exercises</t>
  </si>
  <si>
    <t>1 per sub-region every 2 year</t>
  </si>
  <si>
    <t>1.3.2b</t>
  </si>
  <si>
    <t xml:space="preserve">● full-scale or table-top international exercise </t>
  </si>
  <si>
    <t xml:space="preserve">Number of full-scale or table-top international exercise </t>
  </si>
  <si>
    <t>1 every 2 year</t>
  </si>
  <si>
    <t>1.3.3</t>
  </si>
  <si>
    <t>To develop and implement a process to capture lessons identified during real accidents and exercises and to integrate the follow-up in relevant trainings and subsequent exercises:</t>
  </si>
  <si>
    <t>1.3.3a</t>
  </si>
  <si>
    <t>● development and implementation of process</t>
  </si>
  <si>
    <t>Successful development and implementation of process</t>
  </si>
  <si>
    <t>1.3.3b</t>
  </si>
  <si>
    <t>● training programmes adapted to reflect lessons identified</t>
  </si>
  <si>
    <t>Number of training programmes adapted to reflect lessons identified</t>
  </si>
  <si>
    <t>1 programme</t>
  </si>
  <si>
    <t>1.3.3c</t>
  </si>
  <si>
    <t>● exercises where previously identified lessons are tackled with new approaches</t>
  </si>
  <si>
    <t>Number of exercises where previously identified lessons are tackled with new approaches</t>
  </si>
  <si>
    <t xml:space="preserve">1 exercise </t>
  </si>
  <si>
    <t>1.3.4</t>
  </si>
  <si>
    <t>To develop a framework for holistic integrated management of marine pollution incidents that enable a coordinated preparedness and response operation at sea and onshore, incorporating the response to oil-affected wildlife, at a national level and in the region-wide cooperation</t>
  </si>
  <si>
    <t>Guidelines, training and exercises on the integrated management for marine pollution incidents developed</t>
  </si>
  <si>
    <t>1.3.5</t>
  </si>
  <si>
    <t>To establish systems and procedures for national and sub-regional monitoring and surveillance including regular individual or Coordinated Aerial Surveillance Operation for illicit ship pollution discharges in the Mediterranean (OSCAR-MED) in the waters under the jurisdiction of CPs, if the CPs so agree, and results reported to the Meeting of MENELAS;</t>
  </si>
  <si>
    <t>1.3.5a</t>
  </si>
  <si>
    <t>● OSCAR-MED</t>
  </si>
  <si>
    <t>Number of OSCAR-MED</t>
  </si>
  <si>
    <t>1 OSCAR-MED per year</t>
  </si>
  <si>
    <t>1.3.5b</t>
  </si>
  <si>
    <t>● detentions of vessels</t>
  </si>
  <si>
    <t>Number of detentions of vessels</t>
  </si>
  <si>
    <t>50% reduction in number of detained vessels</t>
  </si>
  <si>
    <t>1.3.6</t>
  </si>
  <si>
    <t>To increase awareness and facilitate the use of Earth Observation services and RPAS services developed and offered by EMSA</t>
  </si>
  <si>
    <t>% of CPs aware of services</t>
  </si>
  <si>
    <t>1.3.7</t>
  </si>
  <si>
    <t>To facilitate the use of EMSA maritime application as platform to exchange AIS information that is shared by the MAREΣ participating countries.</t>
  </si>
  <si>
    <t>1.3.8</t>
  </si>
  <si>
    <t>To organise and follow-up analysis of concentrated inspection campaigns on MARPOL-related deficiencies</t>
  </si>
  <si>
    <t>Number of inspections carried out</t>
  </si>
  <si>
    <t>5,000 per year</t>
  </si>
  <si>
    <t>1.3.9a</t>
  </si>
  <si>
    <t>To make use of the data collected under THETIS-MeD database to produce meaningful statistics in relation to MARPOL related deficiencies.</t>
  </si>
  <si>
    <t>% reduction of detentions</t>
  </si>
  <si>
    <t>5% per year</t>
  </si>
  <si>
    <t>1.3.9b</t>
  </si>
  <si>
    <t xml:space="preserve">Number of analysis carried out </t>
  </si>
  <si>
    <t>INSTITUTION</t>
  </si>
  <si>
    <t>1.4 Governance</t>
  </si>
  <si>
    <t>1.4.1</t>
  </si>
  <si>
    <t>To strengthen the capacity of individual coastal States to respond efficiently to marine pollution incidents at sea and onshore through the establishment and the update of national system for responding to marine pollution, the development and update of national contingency plan (NCP) and sub-regional operational agreements and contingency plans.</t>
  </si>
  <si>
    <t>1.4.1a</t>
  </si>
  <si>
    <t>● established and updated National systems</t>
  </si>
  <si>
    <t>% of CPs with established and updated National systems</t>
  </si>
  <si>
    <t>1.4.1b</t>
  </si>
  <si>
    <t>● updated and adopted NCP</t>
  </si>
  <si>
    <t>% of CPs with updated and adopted NCP</t>
  </si>
  <si>
    <t>1.4.2</t>
  </si>
  <si>
    <t>To set-up an operational network of Subregional Contingency Plans (SCP), and to define and implement synergy activities between the SCPs</t>
  </si>
  <si>
    <t>1.4.2a</t>
  </si>
  <si>
    <t>● SCP in force</t>
  </si>
  <si>
    <t>% of CPs Parties to have a SCP in force</t>
  </si>
  <si>
    <t>At least 80%</t>
  </si>
  <si>
    <t>1.4.2b</t>
  </si>
  <si>
    <t>● SCP operationally connected, and synergy activities defined and implemented</t>
  </si>
  <si>
    <t>Number of SCP operationally connected, and synergy activities defined and implemented</t>
  </si>
  <si>
    <t>At least 3</t>
  </si>
  <si>
    <t>1.4.3</t>
  </si>
  <si>
    <t xml:space="preserve">To extend the mandate of SCP to address prevention of pollution from ships </t>
  </si>
  <si>
    <t>Number of SCP addressing prevention issues</t>
  </si>
  <si>
    <t>1.4.4</t>
  </si>
  <si>
    <t>To set-up the modalities of possible creation and operation, including in terms of governance and financing of a regional ”Blue Fund”</t>
  </si>
  <si>
    <t>Date for official establishment</t>
  </si>
  <si>
    <t>year tbc</t>
  </si>
  <si>
    <t>1.5 Ratification / Transposition</t>
  </si>
  <si>
    <t>1.5.1</t>
  </si>
  <si>
    <t xml:space="preserve">To ratify and implement the following legal instrument, to ensure their transposition into national law, and to cooperate to ensure full compliance with their provisions: </t>
  </si>
  <si>
    <t>% of CPs having ratified, transposed and enforcing:</t>
  </si>
  <si>
    <t>At least 80% for each instrument</t>
  </si>
  <si>
    <t>1.5.1a</t>
  </si>
  <si>
    <t xml:space="preserve">● the Protocol concerning Cooperation in Preventing Pollution from Ships and, in Cases of Emergency, Combating Pollution of the Mediterranean Sea, (“2002 Prevention and Emergency Protocol”) </t>
  </si>
  <si>
    <t>2002 Prevention and Emergency Protocol</t>
  </si>
  <si>
    <t>1.5.1b</t>
  </si>
  <si>
    <t>● the International Convention for the Prevention of Pollution from Ships (MARPOL) and its Annex I, Annex II, Annex III, and Annex IV</t>
  </si>
  <si>
    <t xml:space="preserve">MARPOL 
i.	Annex I
ii.	Annex II
iii.	Annex III
iv.	Annex IV </t>
  </si>
  <si>
    <t>1.5.1c</t>
  </si>
  <si>
    <t>● the International Convention on Oil Pollution Preparedness, Response and Cooperation (OPRC 90 Convention)</t>
  </si>
  <si>
    <t>OPRC Convention</t>
  </si>
  <si>
    <t>1.5.1d</t>
  </si>
  <si>
    <t xml:space="preserve">● the Protocol on Preparedness, Response and Cooperation to pollution Incidents by Hazardous and Noxious Substances, 2000 (2000 OPRC-HNS Protocol) </t>
  </si>
  <si>
    <t>OPRC-HNS Protocol</t>
  </si>
  <si>
    <t>1.5.1e</t>
  </si>
  <si>
    <t>● the 1992 International Convention on Civil Liability for Oil Pollution Damage (CLC Convention)</t>
  </si>
  <si>
    <t>CLC Convention</t>
  </si>
  <si>
    <t>1.5.1f</t>
  </si>
  <si>
    <t>● the 2001 International Convention on Civil Liability for Bunker Oil Pollution Damage (BUNKER Convention)</t>
  </si>
  <si>
    <t>BUNKER Convention</t>
  </si>
  <si>
    <t>1.5.1g</t>
  </si>
  <si>
    <t>● the 1992 International Fund for Compensation for Oil Pollution Damage (FUND 1992)</t>
  </si>
  <si>
    <t>FUND 1992</t>
  </si>
  <si>
    <t>1.5.1h</t>
  </si>
  <si>
    <r>
      <t>● the 2010 Protocol to the International Convention on Liability and Compensation for Damage in Connection with the Carriage of Hazardous and Noxious Substances by Sea, 1996 (The 2010 HNS Protocol).(</t>
    </r>
    <r>
      <rPr>
        <i/>
        <sz val="12"/>
        <color theme="1"/>
        <rFont val="Calibri Light"/>
        <family val="2"/>
        <scheme val="major"/>
      </rPr>
      <t>Still not into force</t>
    </r>
    <r>
      <rPr>
        <sz val="12"/>
        <color theme="1"/>
        <rFont val="Calibri Light"/>
        <family val="2"/>
        <scheme val="major"/>
      </rPr>
      <t>)</t>
    </r>
  </si>
  <si>
    <t>The 2010 HNS Protocol</t>
  </si>
  <si>
    <t>1.6 Implementation</t>
  </si>
  <si>
    <t>1.6.1</t>
  </si>
  <si>
    <t>To undertake the IMO Member State Audit Scheme (IMSAS), using the III Code as the audit standard and following the Framework and Procedures for the IMO Member State Audit Scheme and implemented corrective measures to address identified gaps</t>
  </si>
  <si>
    <t>% of CPs having undertaken the IMSAS and implemented corrective measures to address identified gaps</t>
  </si>
  <si>
    <t>At least 100%</t>
  </si>
  <si>
    <t>1.7 Enforcement</t>
  </si>
  <si>
    <t>1.7.1</t>
  </si>
  <si>
    <t>To set-up a national legal framework (regulations) as a basis for prosecuting discharge offenders for infringements of MARPOL Annex I, II, III and IV</t>
  </si>
  <si>
    <t>% of CPs with legal framework in place</t>
  </si>
  <si>
    <t xml:space="preserve">At least 80% </t>
  </si>
  <si>
    <t>1.7.2</t>
  </si>
  <si>
    <t>To use the common marine oil pollution detection / investigation report</t>
  </si>
  <si>
    <t xml:space="preserve">% of CPs using report </t>
  </si>
  <si>
    <t>1.7.3</t>
  </si>
  <si>
    <t>To apply criteria for a common minimum level of fines for each offense provided for under MARPOL Annex I, II, III and IV (without prejudice to the sovereign right of each State to freely define the level of fines for infringements taking place within its jurisdiction)</t>
  </si>
  <si>
    <t>% of CPs applying common minimum level of fines</t>
  </si>
  <si>
    <t>1.7.4</t>
  </si>
  <si>
    <t>To set-up the modalities of possible creation and operation, including in terms of governance and financing of a regional ”Blue Fund” (Refer to action 1.4.4)</t>
  </si>
  <si>
    <t>Amount collected from fines</t>
  </si>
  <si>
    <t>amount tbc</t>
  </si>
  <si>
    <t>1.7.5</t>
  </si>
  <si>
    <t xml:space="preserve">To improve effectiveness of the Memorandum of Understanding (MoU) on port State Control (PSC) in the Mediterranean region (Mediterranean MoU) and to facilitate cooperation between the Paris MoU and the Mediterranean MoU </t>
  </si>
  <si>
    <t>Number of meetings</t>
  </si>
  <si>
    <t>INFRASTRUCTURE</t>
  </si>
  <si>
    <t xml:space="preserve">1.8 Port Reception Facilities </t>
  </si>
  <si>
    <t>1.8.1</t>
  </si>
  <si>
    <t>To provide adequate reception facilities in Mediterranean ports, enabling their use as soon as they are available at a fee which should be reasonable and should not serve as a disincentive for those ships that use them for disposal of:</t>
  </si>
  <si>
    <t>1.8.1a(i)</t>
  </si>
  <si>
    <t>● oily wastes</t>
  </si>
  <si>
    <t xml:space="preserve">% of major ports having established collection, treatment and disposal procedures for bilge waters, oily residues and dirty ballast waters; and </t>
  </si>
  <si>
    <t>1.8.1a(ii)</t>
  </si>
  <si>
    <t xml:space="preserve">% of major ports with collection, treatment and disposal procedures for bilge waters, oily residues and dirty ballast waters in place </t>
  </si>
  <si>
    <t>1.8.1b(i)</t>
  </si>
  <si>
    <t>● Noxious Liquid Substances (NLS)</t>
  </si>
  <si>
    <t>% of major ports handling NLS having established collection, treatment and disposal procedures for NLS; and</t>
  </si>
  <si>
    <t>1.8.1b(ii)</t>
  </si>
  <si>
    <t>% of major ports with collection, treatment and disposal procedures for NLS in place.</t>
  </si>
  <si>
    <t>1.8.1c(i)</t>
  </si>
  <si>
    <t>● sewage</t>
  </si>
  <si>
    <r>
      <t xml:space="preserve">% of major </t>
    </r>
    <r>
      <rPr>
        <b/>
        <sz val="12"/>
        <color theme="1"/>
        <rFont val="Calibri Light"/>
        <family val="2"/>
        <scheme val="major"/>
      </rPr>
      <t>ports having established collection and treatment procedures for sewage</t>
    </r>
    <r>
      <rPr>
        <sz val="12"/>
        <color theme="1"/>
        <rFont val="Calibri Light"/>
        <family val="2"/>
        <scheme val="major"/>
      </rPr>
      <t>; and</t>
    </r>
  </si>
  <si>
    <t>1.8.1c(ii)</t>
  </si>
  <si>
    <r>
      <t xml:space="preserve">% of major </t>
    </r>
    <r>
      <rPr>
        <b/>
        <sz val="12"/>
        <color theme="1"/>
        <rFont val="Calibri Light"/>
        <family val="2"/>
        <scheme val="major"/>
      </rPr>
      <t>ports with collection and treatment procedures for sewage in place</t>
    </r>
    <r>
      <rPr>
        <sz val="12"/>
        <color theme="1"/>
        <rFont val="Calibri Light"/>
        <family val="2"/>
        <scheme val="major"/>
      </rPr>
      <t>.</t>
    </r>
  </si>
  <si>
    <t xml:space="preserve">1.9 Alternative Energy / New Technologies </t>
  </si>
  <si>
    <t>1.9.1</t>
  </si>
  <si>
    <t>To follow-up on international development on response techniques to alternative fuel spills and provide necessary guidances and capacity building to CPs</t>
  </si>
  <si>
    <t>Development on response techniques shared with CPs</t>
  </si>
  <si>
    <t>Upon approval of relevant documents at IMO</t>
  </si>
  <si>
    <t>1.10 Response Means</t>
  </si>
  <si>
    <t>1.10.1</t>
  </si>
  <si>
    <t>To have and maintain adequate oil and / HNS pollution response capabilities (both in human resources and equipment)</t>
  </si>
  <si>
    <t>1.10.1a</t>
  </si>
  <si>
    <t>● CPs having carried out national assessments on response capacities</t>
  </si>
  <si>
    <t>% of CPs having carried out national assessments on response capacities</t>
  </si>
  <si>
    <t>1.10.1b</t>
  </si>
  <si>
    <t>● CPs having adequate oil pollution response capabilities</t>
  </si>
  <si>
    <t>% of CPs having adequate oil pollution response capabilities</t>
  </si>
  <si>
    <t>1.10.1c</t>
  </si>
  <si>
    <t>● CPs with adequate HNS response capabilities</t>
  </si>
  <si>
    <t>% of CPs with adequate HNS response capabilities</t>
  </si>
  <si>
    <t>1.10.1d</t>
  </si>
  <si>
    <t>● CPs contributing to the pool of equipment</t>
  </si>
  <si>
    <t>% of CPs contributing to the pool of equipment</t>
  </si>
  <si>
    <t>1.10.2</t>
  </si>
  <si>
    <t>To establish a pool of oil and HNS pollution response means at sub-regional and regional level</t>
  </si>
  <si>
    <t>Pool established</t>
  </si>
  <si>
    <t>1.10.3</t>
  </si>
  <si>
    <t>To raise awareness on the EMSA pollution response services available in the Mediterranean.</t>
  </si>
  <si>
    <t>% CPs aware of services</t>
  </si>
  <si>
    <t>1.11 Surveillance / Monitoring Means</t>
  </si>
  <si>
    <t>1.11.1</t>
  </si>
  <si>
    <t>To have and maintain adequate surveillance and monitoring capabilities</t>
  </si>
  <si>
    <t>1.11.1a</t>
  </si>
  <si>
    <t>● CPs with adequate surveillance and monitoring capabilities</t>
  </si>
  <si>
    <t>% of CPs with adequate surveillance and monitoring capabilities</t>
  </si>
  <si>
    <t xml:space="preserve">At least 50% </t>
  </si>
  <si>
    <t>1.11.1b</t>
  </si>
  <si>
    <t>● CPs with access to CleanSeaNet</t>
  </si>
  <si>
    <t>% of CPs with access to CleanSeaNet</t>
  </si>
  <si>
    <t>1.11.2</t>
  </si>
  <si>
    <t>To increase awareness on the Earth Observation services developed and offered by EMSA and on the EMSA RPAS services for surveillance</t>
  </si>
  <si>
    <t>1.11.3</t>
  </si>
  <si>
    <r>
      <t xml:space="preserve">To increase awareness on the AIS based traffic monitoring services offered by EMSA (e.g. </t>
    </r>
    <r>
      <rPr>
        <sz val="12"/>
        <color rgb="FF000000"/>
        <rFont val="Calibri Light"/>
        <family val="2"/>
        <scheme val="major"/>
      </rPr>
      <t>SafeSeaNet Ecosystem Graphical User Interface (</t>
    </r>
    <r>
      <rPr>
        <sz val="12"/>
        <color theme="1"/>
        <rFont val="Calibri Light"/>
        <family val="2"/>
        <scheme val="major"/>
      </rPr>
      <t>SEG) and the regional cooperation entities (e.g. Mediterranean regional AIS server (MAREƩ)).</t>
    </r>
  </si>
  <si>
    <t>1.11.4</t>
  </si>
  <si>
    <t>To set up a common emergency communication system for the whole Mediterranean</t>
  </si>
  <si>
    <t>% of CPs with access to the common system</t>
  </si>
  <si>
    <r>
      <t xml:space="preserve">INFORMATION </t>
    </r>
    <r>
      <rPr>
        <sz val="8"/>
        <color rgb="FF000000"/>
        <rFont val="Calibri Light"/>
        <family val="2"/>
        <scheme val="major"/>
      </rPr>
      <t xml:space="preserve"> </t>
    </r>
    <r>
      <rPr>
        <b/>
        <sz val="8"/>
        <color rgb="FFFFFFFF"/>
        <rFont val="Calibri Light"/>
        <family val="2"/>
        <scheme val="major"/>
      </rPr>
      <t>AND KNOWLEDGE SHARING</t>
    </r>
  </si>
  <si>
    <t xml:space="preserve">1.12 Standards / Guidelines </t>
  </si>
  <si>
    <t>1.12.1</t>
  </si>
  <si>
    <t>To promote, disseminate and revise the existing recommendations, principles and guidelines, to develop new ones aimed at facilitating the implementation of the 2002 Prenvetion and Emergency Protocol, MARPOL (Annex I, Annex II, Annex III, Annex IV), OPRC Convention, OPRC-HNS Protocol, CLC Convention, BUNKER Convention, The 2010 HNS Protocol</t>
  </si>
  <si>
    <t>1.12.1a</t>
  </si>
  <si>
    <t>● Guidelines revised and/or updated</t>
  </si>
  <si>
    <t>Number of Guidelines revised and/or updated</t>
  </si>
  <si>
    <t>To be defined through the MTWG</t>
  </si>
  <si>
    <t>1.12.1b</t>
  </si>
  <si>
    <t>● Guidelines downloaded</t>
  </si>
  <si>
    <t>Number of downloads of Guidelines per year</t>
  </si>
  <si>
    <t>1.12.2</t>
  </si>
  <si>
    <t xml:space="preserve">To consider regional host nation support guidelines (alternatively a dedicated chapter could be included in the the Mediterranean Guide on Cooperation and Mutual Assistance) </t>
  </si>
  <si>
    <t>Date guidelines developed / dedicated chapter is included</t>
  </si>
  <si>
    <t>1.12.3</t>
  </si>
  <si>
    <t>To apply existing and new guidelines in particular:</t>
  </si>
  <si>
    <t xml:space="preserve">% of CPs having applied these guidelines </t>
  </si>
  <si>
    <t>1.12.3a</t>
  </si>
  <si>
    <t>● Guide for Combating Accidental Marine Pollution in the Mediterranean Sea. (REMPEC, 2000)</t>
  </si>
  <si>
    <t>1.12.3b</t>
  </si>
  <si>
    <t>● Guidelines for the use of dispersants for combating oil pollution at sea in the Mediterranean region (REMPEC, 2011)</t>
  </si>
  <si>
    <t>1.12.3c</t>
  </si>
  <si>
    <t>● Mediterranean Oiled Shoreline Assessment Guidelines (REMPEC, 2009)</t>
  </si>
  <si>
    <t>1.12.3d</t>
  </si>
  <si>
    <t>● Mediterranean Oil Spill Waste Management Guidelines (REMPEC, 2012)</t>
  </si>
  <si>
    <t>1.12.3e</t>
  </si>
  <si>
    <t>● The significance of a material safety data sheet (REMPEC, 2001)</t>
  </si>
  <si>
    <t>1.12.3f</t>
  </si>
  <si>
    <t>● Personal protective equipment and monitoring devices for maritime chemical emergencies (REMPEC, 2003)</t>
  </si>
  <si>
    <t>1.12.3g</t>
  </si>
  <si>
    <t>● Theory and practice of foams in chemical spill response (REMPEC, 1992)</t>
  </si>
  <si>
    <t>1.12.3h</t>
  </si>
  <si>
    <t>● Risks of gaseous releases resulting from maritime incidents (REMPEC, 2018)</t>
  </si>
  <si>
    <t>1.12.3i</t>
  </si>
  <si>
    <t>● Practical Guide for Marine Chemical Spills (REMPEC, 2000)</t>
  </si>
  <si>
    <t>1.12.3j</t>
  </si>
  <si>
    <t>● Mediterranean Guide on Cooperation and Mutual Assistance in Responding to Marine Pollution Incidents (REMPEC, 2018)</t>
  </si>
  <si>
    <t>1.12.3k</t>
  </si>
  <si>
    <t>● Oiled Shoreline Assessment Manual (POSOW,2013)</t>
  </si>
  <si>
    <t>1.12.3l</t>
  </si>
  <si>
    <t>● Oiled Shoreline Cleanup Manual (POSOW, 2013)</t>
  </si>
  <si>
    <t>1.12.3m</t>
  </si>
  <si>
    <t>● Oil Spill Volunteer Management Manual (POSOW, 2013)</t>
  </si>
  <si>
    <t>1.12.3n</t>
  </si>
  <si>
    <t>● Oiled Wildlife Response Manual (POSOW, 2013)</t>
  </si>
  <si>
    <t>1.12.3o</t>
  </si>
  <si>
    <t>● Oil Spill Waste Management Manual (POSOW,2016)</t>
  </si>
  <si>
    <t>1.12.3p</t>
  </si>
  <si>
    <t>● Fishermen's Support in Oil Spill response Manual (POSOW, 2016)</t>
  </si>
  <si>
    <t>1.12.3q</t>
  </si>
  <si>
    <t>● HNS Response Manual (2021) adopted at the next meeting of focal point of REMPEC</t>
  </si>
  <si>
    <t>1.12.3r</t>
  </si>
  <si>
    <t>● Manual on oil spill risk evaluation and assessment of response preparedness (2010 edition)</t>
  </si>
  <si>
    <t>1.12.3s</t>
  </si>
  <si>
    <t>● IMO/UNEP Guidance Manual on the assessment and restoration of environmental damage following marine oil spills (2009 edition)</t>
  </si>
  <si>
    <t>1.12.3t</t>
  </si>
  <si>
    <t>● Guidance document on the implementation of an incident management system (IMS) (2012 edition)</t>
  </si>
  <si>
    <t>1.12.3u</t>
  </si>
  <si>
    <t>● Guidance on the safe operation of oil pollution combating equipment (2017)</t>
  </si>
  <si>
    <t>1.12.3v</t>
  </si>
  <si>
    <t>● Guideline for oil spill response in fast currents (2013 edition)</t>
  </si>
  <si>
    <t>1.12.3w</t>
  </si>
  <si>
    <t>● Bioremediation in marine oil spills (2004 edition)</t>
  </si>
  <si>
    <t>1.12.3x</t>
  </si>
  <si>
    <t>● Guidelines for the development of shipboard marine pollution emergency plans (2010 edition)</t>
  </si>
  <si>
    <t>1.12.3y</t>
  </si>
  <si>
    <t>● IMO/FAO Guidance on managing seafood safety during and after oil spills (2002 edition)</t>
  </si>
  <si>
    <t>1.12.3z</t>
  </si>
  <si>
    <t>● Manual on chemical pollution:
Section 1 – Problem Assessment and Response Arrangements (1999 edition)
Section 2 – Search and Recovery of Packaged Goods lost at Sea (2007 edition)</t>
  </si>
  <si>
    <t>1.12.3aa</t>
  </si>
  <si>
    <t>● Field guide for oil spill response in Tropical waters (1997 edition)</t>
  </si>
  <si>
    <t>1.12.3bb</t>
  </si>
  <si>
    <t>● Guide on the implementation of the OPRC convention and OPRC-HNS Protocol (2020 edition)</t>
  </si>
  <si>
    <t>1.12.3cc</t>
  </si>
  <si>
    <t>● Bonn Agreement Helcom REMPEC Marine HNS Response Manual (2021)</t>
  </si>
  <si>
    <t>1.12.3dd</t>
  </si>
  <si>
    <t xml:space="preserve">● Other relevant guidelines as made available, alongside any relevant documents produced, including lessons learnt from accident experience.   </t>
  </si>
  <si>
    <t xml:space="preserve">1.13 Decision Making Tools </t>
  </si>
  <si>
    <t>1.13.1a</t>
  </si>
  <si>
    <t>1.13.1 To improve the quality, speed and effectiveness of decision-making process through the maintenance, update, upgrade, development and inter-connection of technical and decision support tools, including: 
a)	Barcelona Convention Reporting System (BCRS) 
b)	REMPEC Country Profile
c)	MENELAS Information system
d)	The Maritime Integrated Decision Support Information System on Transport of Chemical Substances (MIDSIS-TROCS) 
e)	The Mediterranean Integrated Geographical Information System on Marine Pollution Risk Assessment and Response (MEDGIS-MAR)
f)	Mediterranean Oil Spill Waste Management Decision Support Tool (Waste Management)
g)	Common Emergency and Information System (CECIS)
h)	EU SafeSeaNet, the vessel traffic monitoring and information system covering the waters in and around EU 
i)	Data and images from Earth Observation satellites (CleanSeaNet and Copernicus services)
j)	THETIS-MeD
k)	Mediterranean AIS experts working group (MAREΣ)
l)	Global Integrated Shipping Information System (GISIS)</t>
  </si>
  <si>
    <t>Number of decision support tool maintained, updated and upgraded</t>
  </si>
  <si>
    <t>1.13.1b</t>
  </si>
  <si>
    <t xml:space="preserve">To improve the quality, speed and effectiveness of decision-making process through the maintenance, update, upgrade, development and inter-connection of technical and decision support tools (as above)  </t>
  </si>
  <si>
    <t>Number decision support tool developed</t>
  </si>
  <si>
    <t xml:space="preserve">To be defined </t>
  </si>
  <si>
    <t>1.13.2</t>
  </si>
  <si>
    <t>To update country specific information on existing and new decision support tool notably the BCRS, REMPEC Country Profile, MENELAS Information system, MEDGIS-MAR, Waste Management and CECIS.</t>
  </si>
  <si>
    <t>1.13.2a</t>
  </si>
  <si>
    <t>● CPs having updated national information for each decision support tool</t>
  </si>
  <si>
    <t>% of CPs having updated national information for each decision support tool</t>
  </si>
  <si>
    <t>1.13.2b</t>
  </si>
  <si>
    <t>● CPs using each decision support tool</t>
  </si>
  <si>
    <t>% of CPs using each decision support tool</t>
  </si>
  <si>
    <t>1.14 Monitoring and Reporting Obligations</t>
  </si>
  <si>
    <t>1.13.3</t>
  </si>
  <si>
    <t>To establish a system of notification to a vessel’s next port of call of the status of its on board retention of bilge waters, oily wastes, HNS residues, sewage, garbage, ozone-depleting substances and exhaust gas cleaning residues;</t>
  </si>
  <si>
    <t>Date of establishment</t>
  </si>
  <si>
    <t>1.14.1</t>
  </si>
  <si>
    <t xml:space="preserve">To ensure compliance with reporting obligations under the Barcelona Convention and the 2002 Prevention and Emergency Protocol by reporting measures undertaken through the BCRS and inter-linked reporting databases, such as the IMAP and MEDGIS-MAR, notably: </t>
  </si>
  <si>
    <t>% of CPs having reported measure on the BCRS</t>
  </si>
  <si>
    <t>1.14.1a</t>
  </si>
  <si>
    <t>● All incidents;</t>
  </si>
  <si>
    <t>1.14.1b</t>
  </si>
  <si>
    <t>● The presence, characteristics and extent of spillages of oil and HNS;</t>
  </si>
  <si>
    <t>1.14.1c</t>
  </si>
  <si>
    <t>● Immediately inform all CPs likely to be affected by the incident;</t>
  </si>
  <si>
    <t>1.14.1d</t>
  </si>
  <si>
    <t xml:space="preserve">● Continue to observe the situation for as long as possible; </t>
  </si>
  <si>
    <t>1.14.1e</t>
  </si>
  <si>
    <t>● POLREP (POLWARN, POLINE and POLFAC); and</t>
  </si>
  <si>
    <t>1.14.1f</t>
  </si>
  <si>
    <t>● Information on illicit discharges on the MEDGIS-MAR</t>
  </si>
  <si>
    <t>1.14.2</t>
  </si>
  <si>
    <t>To comply with IMO reporting requirement (SOLAS, MARPOL, OPRC-90 &amp; OPRC-HNS Prot) notably:</t>
  </si>
  <si>
    <t>% of CPs being compliant with IMO GISIS and other reporting requirements</t>
  </si>
  <si>
    <t>1.14.2a</t>
  </si>
  <si>
    <t>● Mandatory reporting system under MARPOL (MEPC/Circ.318)</t>
  </si>
  <si>
    <t>1.14.2b</t>
  </si>
  <si>
    <t>● Condition Assessment Scheme</t>
  </si>
  <si>
    <t>1.14.2c</t>
  </si>
  <si>
    <t>● Pollution Prevention Equipment</t>
  </si>
  <si>
    <t>1.14.2d</t>
  </si>
  <si>
    <t>● Contact Points</t>
  </si>
  <si>
    <t>1.14.2e</t>
  </si>
  <si>
    <t>● Marine Casualty and Incidents</t>
  </si>
  <si>
    <t>1.14.2f</t>
  </si>
  <si>
    <t>● Port States Control</t>
  </si>
  <si>
    <t>1.14.2g</t>
  </si>
  <si>
    <t>● Information on assistance that may be made available to other States; and</t>
  </si>
  <si>
    <t>1.14.2h</t>
  </si>
  <si>
    <t>● Copies of bilateral or multilateral agreements.</t>
  </si>
  <si>
    <t>1.14.3</t>
  </si>
  <si>
    <t>To update MEDGIS-MAR with national inventory of response equipment</t>
  </si>
  <si>
    <t>% of CPs having shared their equipment</t>
  </si>
  <si>
    <t>1.14.4</t>
  </si>
  <si>
    <t>To further streamline reporting procedures</t>
  </si>
  <si>
    <t>Number of reporting systems</t>
  </si>
  <si>
    <t>1.15 Research and Development</t>
  </si>
  <si>
    <t>1.15.1</t>
  </si>
  <si>
    <t>To provide assistance to regional institutions and industry in identifying fields of research in which there is a need for enhancement of the state-of-the-art of marine pollution prevention, preparedness and response technologies and techniques.</t>
  </si>
  <si>
    <t>% of CPs having shared the results of their research</t>
  </si>
  <si>
    <t>1.15.2</t>
  </si>
  <si>
    <t>To provide assistance and encourage scientific and technical institutions, as well as industry, to actively participate in research and development activities and programmes related to accidental marine pollution prevention, preparedness and response, and to share systematically the results of their research to all Mediterranean Coastal States</t>
  </si>
  <si>
    <t>% of CPs having share the results of their research</t>
  </si>
  <si>
    <t>CSO 2 - PROMOTE AND SUPPORT THE DEVELOPMENT AND IMPLEMENTATION OF INNOVATIVE GLOBAL SOLUTIONS TO MITIGATE AND RESPOND TO CLIMATE CHANGE</t>
  </si>
  <si>
    <t>2.1 Networks</t>
  </si>
  <si>
    <t>2.1.1</t>
  </si>
  <si>
    <t>To activily participate in existing global and regional working groups established to reduce GHG emissions from ships notably the IMO Working Group on Reduction of GHG Emissions from Ships, and Global Network of Maritime Technology Cooperation Centres (MTCC) and Regional Seas Programmes (HELCOM, OSPAR, Bonn Agreement)</t>
  </si>
  <si>
    <t>% of CPs participating in existing global and regional working groups</t>
  </si>
  <si>
    <t>At least 50%</t>
  </si>
  <si>
    <t>2.2 Capacity Building / Technical Cooperation</t>
  </si>
  <si>
    <t>2.2.1</t>
  </si>
  <si>
    <t>To increase as much as practical, the level of knowledge in the field of reduction of GHG emissions from ships by providing technical assistance and capacity building activities addressing:</t>
  </si>
  <si>
    <t>% of CP PSCOs trained for Annex VI</t>
  </si>
  <si>
    <t>By 2030 PSCOs from all CPs to be trained for MARPOL Annex VI.</t>
  </si>
  <si>
    <t>2.2.1a</t>
  </si>
  <si>
    <t>● Rapid assessment of ship emissions in the national context</t>
  </si>
  <si>
    <t>Number of newly trained personnel per subject</t>
  </si>
  <si>
    <t>2 newly trained personnel per country per training subject</t>
  </si>
  <si>
    <t>2.2.2b</t>
  </si>
  <si>
    <t>● Incorporation of MARPOL Annex VI into national law</t>
  </si>
  <si>
    <t>2.2.3c</t>
  </si>
  <si>
    <t>● Development of a national ship emissions reduction strategy</t>
  </si>
  <si>
    <t>2.2.4d</t>
  </si>
  <si>
    <t>● Assessment of port emissions</t>
  </si>
  <si>
    <t>2.2.5e</t>
  </si>
  <si>
    <t>● Development of port emissions reduction strategies</t>
  </si>
  <si>
    <t>2.2.6f</t>
  </si>
  <si>
    <t>● Investigation of appropriate control measures (abatement technologies) to reduce black carbon emissions from international shipping</t>
  </si>
  <si>
    <t>2.2.7g</t>
  </si>
  <si>
    <t>● IMO Train the Trainer (TTT) Course on Energy Efficient Ship Operation</t>
  </si>
  <si>
    <t>2.2.8h</t>
  </si>
  <si>
    <t>● IMO Energy Efficient Operation of Ships Model Course 4.05</t>
  </si>
  <si>
    <t>2.2.9i</t>
  </si>
  <si>
    <t>● Other relevant Training programmes on GHG emissions, Energy Efficiency Design Index (EEDI), Ship Energy Efficiency Management Plan (SEEMP);</t>
  </si>
  <si>
    <t>2.2.10j</t>
  </si>
  <si>
    <t>● Flag States Implementation (FSI) andPSC (Med MoU &amp; Paris MoU)</t>
  </si>
  <si>
    <t>2.2.11k</t>
  </si>
  <si>
    <t>● EU MRV Regulation (Regulation 2015/757 of the European Parliament and of the Council) on the monitoring, reporting and verification of carbon dioxide emissions from maritime transport</t>
  </si>
  <si>
    <t>2.2.12l</t>
  </si>
  <si>
    <r>
      <t>● Reporting requirements to THETIS MRV, enabling companies responsible for the operation of large ships using EU ports to report their CO</t>
    </r>
    <r>
      <rPr>
        <vertAlign val="subscript"/>
        <sz val="12"/>
        <color theme="1"/>
        <rFont val="Calibri Light"/>
        <family val="2"/>
        <scheme val="major"/>
      </rPr>
      <t>2</t>
    </r>
    <r>
      <rPr>
        <sz val="12"/>
        <color theme="1"/>
        <rFont val="Calibri Light"/>
        <family val="2"/>
        <scheme val="major"/>
      </rPr>
      <t xml:space="preserve"> emissions under the Regulation (EU) 2015/757 on Monitoring, Reporting and Verification of CO</t>
    </r>
    <r>
      <rPr>
        <vertAlign val="subscript"/>
        <sz val="12"/>
        <color theme="1"/>
        <rFont val="Calibri Light"/>
        <family val="2"/>
        <scheme val="major"/>
      </rPr>
      <t>2</t>
    </r>
    <r>
      <rPr>
        <sz val="12"/>
        <color theme="1"/>
        <rFont val="Calibri Light"/>
        <family val="2"/>
        <scheme val="major"/>
      </rPr>
      <t xml:space="preserve"> from marine transport.</t>
    </r>
  </si>
  <si>
    <t>2.2.2</t>
  </si>
  <si>
    <t>To promote technologies and operations to improve energy efficiency in the maritime sector building on the experience of Maritime Technologies Cooperation Centres (MTCCs)</t>
  </si>
  <si>
    <t>% of CPs aware of new technologies and operations</t>
  </si>
  <si>
    <t>2.2.3</t>
  </si>
  <si>
    <t>To use the provision of services, in support of the Transposition, Implementation, and Enforcement following the Ratification of International Conventions, offered under the SAFEMED project.</t>
  </si>
  <si>
    <t>% CPs making use of such services</t>
  </si>
  <si>
    <t>2.2.4</t>
  </si>
  <si>
    <t>To contribute to the possible establishment of externally funded major projects under the auspices of IMO in support of the Initial IMO Strategy on Reduction of GHG Emissions from Ships, such as the on-going IMO-Norway GreenVoyage2050 Project, and their subsequent implementation in the Mediterranean, as appropriate</t>
  </si>
  <si>
    <t>Number of CPs contributing</t>
  </si>
  <si>
    <t>At least 2</t>
  </si>
  <si>
    <t xml:space="preserve">2.3 Operations </t>
  </si>
  <si>
    <t>2.3.1</t>
  </si>
  <si>
    <t>To organise campaigns to monitor ship emissions</t>
  </si>
  <si>
    <t>Number of campaigns</t>
  </si>
  <si>
    <t xml:space="preserve">2.4 Governance </t>
  </si>
  <si>
    <t>2.4.1</t>
  </si>
  <si>
    <t>To support the implementation of the ‘Initial IMO Strategy on Reduction of GHG Emissions from Ships’ (Res. MEPC.304(72))</t>
  </si>
  <si>
    <t>% of CP implementing the Initial IMO Strategy on Reduction of GHG Emissions from Ships</t>
  </si>
  <si>
    <t>2.4.2</t>
  </si>
  <si>
    <t xml:space="preserve">To include enforcement of MARPOL Annex VI, in the context of the setting up of the modalities of possible creation and operation, including in terms of governance and financing of a regional ”Blue Fund” </t>
  </si>
  <si>
    <t>Modalities of possible creation and operation, including in terms of governance and financing of a regional ”Blue Fund”</t>
  </si>
  <si>
    <t>Adopted</t>
  </si>
  <si>
    <t>2.5 Ratification / Transposition</t>
  </si>
  <si>
    <t>2.5.1</t>
  </si>
  <si>
    <t>To ratify and implement MARPOL Annex VI, to ensure its transposition into national law, and to cooperate to ensure full compliance with its provisions</t>
  </si>
  <si>
    <t xml:space="preserve">% of CPs having ratified,
transposed and enforcing:
MARPOL Annex VI </t>
  </si>
  <si>
    <t>2.6 Implementation</t>
  </si>
  <si>
    <t>2.6.1</t>
  </si>
  <si>
    <t>2.6.1a</t>
  </si>
  <si>
    <t>● CPs having undertaken the IMSAS and implemented corrective measures to address identified gaps</t>
  </si>
  <si>
    <t>2.6.1b</t>
  </si>
  <si>
    <t xml:space="preserve">● Ships adhering to MARPOL Annex VI requirements </t>
  </si>
  <si>
    <t xml:space="preserve">% of ships adhering to MARPOL Annex VI requirements </t>
  </si>
  <si>
    <t>2.6.1c</t>
  </si>
  <si>
    <t xml:space="preserve">● CPs’ administrations being effective in carrying out all their responsibilities and obligations under MARPOL Annex VI </t>
  </si>
  <si>
    <t xml:space="preserve">% of CPs’ administrations being effective in carrying out all their responsibilities and obligations under MARPOL Annex VI </t>
  </si>
  <si>
    <t>2.6.2</t>
  </si>
  <si>
    <r>
      <t>To comply with the mandatory technical and operational requirements which apply to ships of 400 GT and above, i.e. the EEDI, applicable to new ships, which sets a minimum energy efficiency level for the work undertaken (e.g. CO</t>
    </r>
    <r>
      <rPr>
        <vertAlign val="subscript"/>
        <sz val="12"/>
        <color theme="1"/>
        <rFont val="Calibri Light"/>
        <family val="2"/>
        <scheme val="major"/>
      </rPr>
      <t>2</t>
    </r>
    <r>
      <rPr>
        <sz val="12"/>
        <color theme="1"/>
        <rFont val="Calibri Light"/>
        <family val="2"/>
        <scheme val="major"/>
      </rPr>
      <t xml:space="preserve"> emissions per tonne-mile) for different ship types and sizes, and the SEEMP, applicable to all ships</t>
    </r>
  </si>
  <si>
    <t>% of ships transiting the Mediterranean region constructed in 2025 to be at least 30% more energy efficient than those constructed in 2014</t>
  </si>
  <si>
    <t>2.7 Enforcement</t>
  </si>
  <si>
    <t>2.7.1</t>
  </si>
  <si>
    <t>To define appropriate technical assistance, guidance and knowledge required for setting up national legal framework (regulations) for prosecuting offenders for infringements of MARPOL Annex VI, through MENELAS</t>
  </si>
  <si>
    <t>% of CPs contributing to the definition of appropriate technical assistance, guidance and knowledge required</t>
  </si>
  <si>
    <t>2.7.2</t>
  </si>
  <si>
    <t xml:space="preserve">To set-up a national legal framework (regulations) as a basis for prosecuting offenders for infringements of MARPOL Annex VI </t>
  </si>
  <si>
    <t xml:space="preserve">2.8 Port Reception Facilities </t>
  </si>
  <si>
    <t>2.8.1</t>
  </si>
  <si>
    <t>To provide adequate reception facilities in Mediterranean ports, enabling their use as soon as they are available at a fee which should be reasonable and should not serve as a disincentive for those ships that use them for disposal of ozone-depleting substances and exhaust gas cleaning residues</t>
  </si>
  <si>
    <t>2.8.1a</t>
  </si>
  <si>
    <t>● major ports having established collection and treatment procedures for ozone-depleting substances and exhaust cleaning residues</t>
  </si>
  <si>
    <t>% of major ports having established collection and treatment procedures for ozone-depleting substances and exhaust cleaning residues</t>
  </si>
  <si>
    <t>2.8.1b</t>
  </si>
  <si>
    <t>● major port with collection and treatment procedures for such substances and residues in place</t>
  </si>
  <si>
    <t>% of major port with collection and treatment procedures for such substances and residues in place</t>
  </si>
  <si>
    <t>2.9 Alternative Energy / New Technology</t>
  </si>
  <si>
    <t>2.9.1</t>
  </si>
  <si>
    <t>To promote the use of zero emission fuels and introduced related facilities</t>
  </si>
  <si>
    <t>% availability of adequate facilities in the Mediterranean region</t>
  </si>
  <si>
    <t>2.9.2</t>
  </si>
  <si>
    <t>To promote a zero-emissions berth standard</t>
  </si>
  <si>
    <t xml:space="preserve">% of CPs with zero emissions berth standard in place </t>
  </si>
  <si>
    <t>2.9.3</t>
  </si>
  <si>
    <t xml:space="preserve">To provide adequate onshore power supplies </t>
  </si>
  <si>
    <t>% of CPs having onshore electrical power supply in place.</t>
  </si>
  <si>
    <t>2.10 Response Means</t>
  </si>
  <si>
    <t>N/A</t>
  </si>
  <si>
    <t>2.11 Surveillance / Monitoring Means</t>
  </si>
  <si>
    <t>2.11.1</t>
  </si>
  <si>
    <t>To have and maintain adequate surveillance and monitoring capabilities, including, if possible, access to the Remotely Piloted Aircraft System Services (RPAS)</t>
  </si>
  <si>
    <t>% of CPs having surveillance and monitoring capabilities</t>
  </si>
  <si>
    <t>INFORMATION AND KNOWLEDGE SHARING</t>
  </si>
  <si>
    <t xml:space="preserve">2.12 Standards / Guidelines </t>
  </si>
  <si>
    <t>2.12.1</t>
  </si>
  <si>
    <t>To promote, disseminate and revise the existing recommendations, principles and guidelines, to develop new ones aimed at facilitating the implementation of MARPOL Annex VI</t>
  </si>
  <si>
    <t xml:space="preserve">% of CPs having downloaded/been provided with such guidelines </t>
  </si>
  <si>
    <t>2.12.2</t>
  </si>
  <si>
    <t>2.12.2a</t>
  </si>
  <si>
    <t>● GloMEEP Ship emissions toolkit guide no.1: Rapid assessment of ship emissions in the national context</t>
  </si>
  <si>
    <t>● GloMEEP Ship emissions toolkit guide no.2: Incorporation of MARPOL Annex VI into national law</t>
  </si>
  <si>
    <t>● GloMEEP Ship emissions toolkit guide no.3: Development of a national ship emissions reduction strategy</t>
  </si>
  <si>
    <t>● GloMEEP Port emissions toolkit guide no.1: Assessment of port emissions</t>
  </si>
  <si>
    <t>2.12.2e</t>
  </si>
  <si>
    <t>● GloMEEP Port emissions toolkit guide no.2: Development of port emissions reduction strategies</t>
  </si>
  <si>
    <t>2.12.2f</t>
  </si>
  <si>
    <t>● 2014 Guidelines on the method of calculation of the attained Energy Efficiency Design Index (EEDI) for new ships, as amended (resolution MEPC.245(66));</t>
  </si>
  <si>
    <t>2.12.2g</t>
  </si>
  <si>
    <t>● 2016 Guidelines for the development of a Ship Energy Efficiency Management Plan (SEEMP) (resolution MEPC.282(70));</t>
  </si>
  <si>
    <t>2.12.2h</t>
  </si>
  <si>
    <t xml:space="preserve">● 2014 Guidelines on survey and certification of the Energy Efficiency Design Index (EEDI), as amended (resolution MEPC.254(67)); </t>
  </si>
  <si>
    <t>2.12.2i</t>
  </si>
  <si>
    <t>● 2013 Guidelines for calculation of reference lines for use with the Energy Efficiency Design Index (EEDI) (resolution MEPC.231(65));</t>
  </si>
  <si>
    <t>2.12.2j</t>
  </si>
  <si>
    <t>● 2018 Guidelines on the Method of Calculation of the Attained Energy Efficiency Design Index (EEDI) for new Ships (MEPC.308(73);</t>
  </si>
  <si>
    <t>2.12.3</t>
  </si>
  <si>
    <t>To develop guidelines for alternative energy applications</t>
  </si>
  <si>
    <t>Guidelines developed</t>
  </si>
  <si>
    <t>2.13 Decision Making Tools</t>
  </si>
  <si>
    <t>2.13.1a</t>
  </si>
  <si>
    <t>Increase awareness of any decision-support tools available to CPs and industry in particular those developed within the GloMEEP and the “Capacity Building for Climate Mitigation in the Maritime Shipping Industry – The Global MTCC Network (GMN)” projects</t>
  </si>
  <si>
    <t>% of CPs being provided access to such tool</t>
  </si>
  <si>
    <t>2.13.1b</t>
  </si>
  <si>
    <t>2.13.2</t>
  </si>
  <si>
    <t>To establish a system of notification to a vessel’s next port of call of the status of its on board retention of ozone-depleting substances and exhaust gas cleaning residues;</t>
  </si>
  <si>
    <t>2.14 Monitoring and Reporting Obligations</t>
  </si>
  <si>
    <t>2.14.1</t>
  </si>
  <si>
    <t>To comply with the mandatory reporting obligations under MARPOL Annex VI, Regulation 22, taking into consideration the guidance notes as set out in MEPC.320(74), MEPC.282(70), MEPC.292(71), MEPC.293(71),</t>
  </si>
  <si>
    <t>% of CPs to have complied with the mandatory reporting obligations</t>
  </si>
  <si>
    <t>2.15 Research and Development</t>
  </si>
  <si>
    <t>2.15.1</t>
  </si>
  <si>
    <t>To support research and development to improve energy efficiency of international shipping</t>
  </si>
  <si>
    <t>% of CPs participating in research and development activities</t>
  </si>
  <si>
    <t>2.15.2</t>
  </si>
  <si>
    <t>To provide assistance to regional institutions and industry in identifying fields of research in which there is a need to improve energy efficiency of international shipping</t>
  </si>
  <si>
    <t>2.15.3</t>
  </si>
  <si>
    <t>To encourage scientific and technical institutions, as well as the industry, to actively participate in research and development activities and programmes related to energy efficiency of international shipping, and to share systematically the results of their research to all Mediterranean Coastal States</t>
  </si>
  <si>
    <t>2.15.4</t>
  </si>
  <si>
    <t>To promote, disseminate relevant studies on energy efficiency of international shipping, notably:
a)	Study of emission control and energy efficiency measures for ships in the port area
b)	Study of emission control and energy efficiency measures for ships in the port area
c)	Study on the optimization of energy consumption as part of implementation of a ship energy efficiency management plan (SEEMP)
d)	Studies on the feasibility and use of zero emission fuels (such as green hydrogen and green ammonia) for shipping
e)	Investigation of appropriate control measures (abatement technologies) to reduce black carbon emissions from international shipping
f)	Third IMO Greenhouse gas study 2014
g)	Fourth IMO Greenhouse gas study 2020</t>
  </si>
  <si>
    <t xml:space="preserve">% of CPs aware of such studies </t>
  </si>
  <si>
    <t>2.15.5</t>
  </si>
  <si>
    <t>Assess the contribution of the shipping industry to sea acidification</t>
  </si>
  <si>
    <t>Number of reports prepared on sea acidification</t>
  </si>
  <si>
    <t>1 report prepared</t>
  </si>
  <si>
    <t>CSO 3 - REDUCE AND MONITOR AIR EMISSIONS FROM SHIPS TO A LEVEL THAT IS NOT HARMFUL TO THE MARINE ENVIRONMENT, OR THE HEALTH OF THE COASTAL POPULATION OF THE MEDITERRANEAN</t>
  </si>
  <si>
    <t>3.1 Networks</t>
  </si>
  <si>
    <t>3.1.1</t>
  </si>
  <si>
    <t>To activily participate in existing global and regional working groups established to reduce SOx and NOx emissions from ships notably the SOx/NOx Technical Committees of Experts, MENELAS, IMO Working Group on Reduction of GHG Emissions from Ships, and Global Network of Maritime Technology Cooperation Centres (MTCC) and Regional Seas Programmes (HELCOM, OSPAR, Bonn Agreement)</t>
  </si>
  <si>
    <t>3.2 Capacity Building / Technical Cooperation</t>
  </si>
  <si>
    <t>3.2.1</t>
  </si>
  <si>
    <t xml:space="preserve">To increase as much as practical, the level of knowledge in the field of SOx and NOx emission control area requirements under MARPOL Annex VI by providing technical assistance and capacity building activities </t>
  </si>
  <si>
    <t>% of personnel trained</t>
  </si>
  <si>
    <t>3.2.2</t>
  </si>
  <si>
    <t xml:space="preserve">To increase as much as practical, the level of knowledge in the field of SOx requirements under Directive (EU) 2016/802 relating to a reduction in the sulphur content of certain liquid fuels and tools and the relevant services developed by EMSA (THETIS-EU / RPAS) for its implementation </t>
  </si>
  <si>
    <t>Number of CPs updated with such information</t>
  </si>
  <si>
    <t>3.2.3</t>
  </si>
  <si>
    <t>To increase awareness on and use of, if needed, the services made available by EMSA in support of the Transposition, Implementation, and Enforcement following the Ratification of International Conventions under the SAFEMED project</t>
  </si>
  <si>
    <t>Number of CPs aware of such information</t>
  </si>
  <si>
    <t>3.2.4</t>
  </si>
  <si>
    <t>To increase awareness on and use of, if needed, the services made available by EMSA with the aim to extend cooperation in the area of Directive 2002/59/EC – VTMIS  (as amended)</t>
  </si>
  <si>
    <t xml:space="preserve">Number of CPs aware of these services </t>
  </si>
  <si>
    <t>3.2.5</t>
  </si>
  <si>
    <t>To increase awareness / knowledge on sea acidification and its impact on marine ecosystems.</t>
  </si>
  <si>
    <t>Circulation of report(s) on the impact of sea acidification</t>
  </si>
  <si>
    <t xml:space="preserve">At least 1 report circulated to CPs  </t>
  </si>
  <si>
    <t>3.3 Operations</t>
  </si>
  <si>
    <t>3.3.1</t>
  </si>
  <si>
    <t>3.3.2</t>
  </si>
  <si>
    <t xml:space="preserve">3.4 Governance </t>
  </si>
  <si>
    <t>3.4.1</t>
  </si>
  <si>
    <t>To support the implementation of ‘Decision IG. 24/8 on the Road Map for a Proposal for the Possible Designation of the Mediterranean Sea, as a whole, as an Emission Control Area for Sulphur Oxides Pursuant to MARPOL Annex VI, within the Framework of the Barcelona Convention’.</t>
  </si>
  <si>
    <t>Status of implementation of Decision IG. 24/8</t>
  </si>
  <si>
    <t>100% implemented</t>
  </si>
  <si>
    <t>3.4.2</t>
  </si>
  <si>
    <t>To agree upon and implement a Road Map for a Proposal for the Possible Designation of the Mediterranean Sea, as a whole, as an Emission Control Area for Nitrogen Oxides Pursuant to MARPOL Annex VI, within the Framework of the Barcelona Convention’.</t>
  </si>
  <si>
    <t>Roadmap submitted</t>
  </si>
  <si>
    <t>To be defined</t>
  </si>
  <si>
    <t>3.4.3</t>
  </si>
  <si>
    <t>To include enforcement of MARPOL Annex VI, in the context of the setting up of the modalities of possible creation and operation, including in terms of governance and financing of a regional ”Blue Fund”</t>
  </si>
  <si>
    <t>3.5 Ratification / Transposition</t>
  </si>
  <si>
    <t>3.5.1</t>
  </si>
  <si>
    <t>To ratify and implement MARPOL Annex VI,  to ensure its transposition into national law, and to cooperate to ensure full compliance with its provisions</t>
  </si>
  <si>
    <t>% of CPs having ratified, transposed and enforcing MARPOL Annex VI</t>
  </si>
  <si>
    <t>3.6 Implementation</t>
  </si>
  <si>
    <t>3.6.1</t>
  </si>
  <si>
    <t>3.6.1a</t>
  </si>
  <si>
    <t>● Undertake the IMSAS and implemented corrective measures to address identified gaps</t>
  </si>
  <si>
    <t>3.6.1b</t>
  </si>
  <si>
    <t>3.6.1c</t>
  </si>
  <si>
    <t>● CPs’ administrations being effective in carrying out all their responsibilities and obligations under MARPOL Annex VI</t>
  </si>
  <si>
    <t>% of CPs’ administrations being effective in carrying out all their responsibilities and obligations under MARPOL Annex VI</t>
  </si>
  <si>
    <t>3.7 Enforcement</t>
  </si>
  <si>
    <t>3.7.1</t>
  </si>
  <si>
    <t xml:space="preserve">To set-up a national legal framework (regulations) as a basis for prosecuting discharge offenders for infringements of the MARPOL Annex VI  </t>
  </si>
  <si>
    <t>3.8 Port Reception Facilities</t>
  </si>
  <si>
    <t>3.8.1</t>
  </si>
  <si>
    <t>To provide adequate reception facilities in Mediterranean ports, enabling their use as soon as they are available at a fee which should be reasonable and should not serve as a disincentive for those ships who use them for disposal of scrubbers’ residues.</t>
  </si>
  <si>
    <t>% of major ports having the required PRF for scrubber waste in place</t>
  </si>
  <si>
    <t xml:space="preserve">3.9 Alternative Energy / New Technologies </t>
  </si>
  <si>
    <t>3.9.1</t>
  </si>
  <si>
    <t xml:space="preserve">To provide low-sulphur oxides fuels for international shipping  </t>
  </si>
  <si>
    <t>Number of ports providing adequate low-sulphur oxides bunkering facilities in the Mediterranean region</t>
  </si>
  <si>
    <t>At least one per country</t>
  </si>
  <si>
    <t>3.9.2</t>
  </si>
  <si>
    <t xml:space="preserve">To introduce alternative bunkering facilities and use LNG gas as fuel for international shipping  </t>
  </si>
  <si>
    <t>Number of ports providing adequate LNG bunkering facilities in the Mediterranean region</t>
  </si>
  <si>
    <t xml:space="preserve">At least one per country </t>
  </si>
  <si>
    <t>3.9.3</t>
  </si>
  <si>
    <t>Number of ports having onshore electrical power supply in place.</t>
  </si>
  <si>
    <t>3.10 Response Means</t>
  </si>
  <si>
    <t>3.11 Surveillance / Monitoring Means</t>
  </si>
  <si>
    <t>3.11.1</t>
  </si>
  <si>
    <t>To have and maintain adequate surveillance and monitoring capabilities, including, if possible, access to the Remotely Piloted Aircraft System Services</t>
  </si>
  <si>
    <t>% of CPs having surveillance and monitoring capabilities in place</t>
  </si>
  <si>
    <t>3.11.2</t>
  </si>
  <si>
    <t>To make use of THETIS-MED which serves as a platform to record and exchange information on the results of individual compliance verifications performed by Member States as foreseen by Directive (EU) 2016/802 on the reduction in the sulphur content of marine fuels.</t>
  </si>
  <si>
    <t xml:space="preserve">% of CPs using THETIS-MED for such analysis </t>
  </si>
  <si>
    <t>3.11.3</t>
  </si>
  <si>
    <t>Within the framework of EMSA’s implemented cooperation projects, to make use of EMSA maritime application which serves as a platform to exchange AIS information that is shared by the Mediterranean AIS Regional Server (MAREΣ) participating Contracting Parties.</t>
  </si>
  <si>
    <t>% of Cps making use of application</t>
  </si>
  <si>
    <t xml:space="preserve">3.12 Standards / Guidelines </t>
  </si>
  <si>
    <t>3.12.1</t>
  </si>
  <si>
    <t xml:space="preserve">To promote, disseminate and revise the existing recommendations, principles and guidelines, to develop new ones aimed at facilitating the implementation of MARPOL Annex VI </t>
  </si>
  <si>
    <t>3.12.2</t>
  </si>
  <si>
    <t>3.12.2 To apply existing and new guidelines in particular:</t>
  </si>
  <si>
    <t>3.12.2a</t>
  </si>
  <si>
    <t>3.12.2b</t>
  </si>
  <si>
    <t>● GloMEEP Ship emissions toolkit guide no.2: Incorporation of MARPOL annex VI into national law</t>
  </si>
  <si>
    <t>3.12.2c</t>
  </si>
  <si>
    <t>3.12.2d</t>
  </si>
  <si>
    <t>3.12.2e</t>
  </si>
  <si>
    <t>3.12.2f</t>
  </si>
  <si>
    <t>● 2015 Guidelines for exhaust gas cleaning systems (MEPC.259(68);</t>
  </si>
  <si>
    <t>3.12.2g</t>
  </si>
  <si>
    <t>● 2019 Guidelines for PSC under MARPOL Annex VI, Chapter 3 (MEPC.321(74);</t>
  </si>
  <si>
    <t>3.12.2h</t>
  </si>
  <si>
    <t>● 2019 Guidelines for consistent implementation of the 0.5% sulphur limit under MARPOL Annex VI (MEPC.320(74)</t>
  </si>
  <si>
    <t xml:space="preserve">3.13 Decision Making Tools </t>
  </si>
  <si>
    <t>3.13.1a</t>
  </si>
  <si>
    <t>To increase awareness of all the decision-support tools available to CPs and industry</t>
  </si>
  <si>
    <t>% of CPs being provided access to such tools</t>
  </si>
  <si>
    <t>3.13.1b</t>
  </si>
  <si>
    <t>3.14 Monitoring and Reporting Obligations</t>
  </si>
  <si>
    <t>3.14.1</t>
  </si>
  <si>
    <t xml:space="preserve">To comply with all the mandatory reporting obligations under MARPOL Annex VI, Regulations, 11, 18, noting contents of MEPC.320(74), MEPC.1/Circ.880 </t>
  </si>
  <si>
    <t>3.14.2</t>
  </si>
  <si>
    <t>To establish monitoring systems in their ports and coastal region</t>
  </si>
  <si>
    <t>% of CPs with monitoring systems in place in major ports around the Mediterranean</t>
  </si>
  <si>
    <t>3.14.3</t>
  </si>
  <si>
    <t>To provide information on the monitoring, reporting and verification of SOx and NOx emissions</t>
  </si>
  <si>
    <t>% of CPs having shared relevant information</t>
  </si>
  <si>
    <t xml:space="preserve">3.15 Research and Development </t>
  </si>
  <si>
    <t>3.15.1</t>
  </si>
  <si>
    <t xml:space="preserve">To encourage CPs to participate in research and development and studies carried out on national, regional and international (within IMO) levels </t>
  </si>
  <si>
    <t>% of CPs participating in relevant research and development activities</t>
  </si>
  <si>
    <t>CSO 4 - PREVENT AND REDUCE LITTER (IN PARTICULAR PLASTIC) ENTERING THE MARINE ENVIRONMENT FROM SHIPS, IN ORDER TO LIMIT THE ENVIRONMENTAL, HEALTH, AND SOCIO-ECONOMIC IMPACT OF MARINE LITTER IN THE MEDITERRANEAN</t>
  </si>
  <si>
    <t>4.1 Networks</t>
  </si>
  <si>
    <t>4.1.1</t>
  </si>
  <si>
    <t xml:space="preserve">To contribute to the work of United Nations bodies and agencies, as well as international fora, which are active in the matter of marine plastic litter from shipping, notably the </t>
  </si>
  <si>
    <t>% of CPs participating into the relevant international working groups</t>
  </si>
  <si>
    <t>4.1.1a</t>
  </si>
  <si>
    <t>● IMO Working Group on Marine Plastic Litter</t>
  </si>
  <si>
    <t>4.1.1b</t>
  </si>
  <si>
    <t>● Food and Agriculture Organization of the United Nations (FAO) through the Joint FAO/IMO Ad Hoc Working Group  on Illegal Unreported and Unregulated (IUU) Fishing &amp; Related Matters (JWG); Private stakeholders (Cruise liners, etc)</t>
  </si>
  <si>
    <t>4.1.1c</t>
  </si>
  <si>
    <t>● Joint Group of Experts on the Scientific Aspects of Marine Environmental Protection (GESAMP);</t>
  </si>
  <si>
    <t>4.1.1d</t>
  </si>
  <si>
    <t>● UN Environment-managed Global Partnership on Marine Litter (GPML);</t>
  </si>
  <si>
    <t>4.1.1e</t>
  </si>
  <si>
    <t xml:space="preserve">● UN Open-ended informal Consultative Process on Oceans and the Law of the Sea (ICP); and </t>
  </si>
  <si>
    <t>4.1.1f</t>
  </si>
  <si>
    <t>● United Nations Environment Assembly (UNEA); and</t>
  </si>
  <si>
    <t>4.1.1g</t>
  </si>
  <si>
    <t>● UNEP Expert group</t>
  </si>
  <si>
    <t>4.1.1h</t>
  </si>
  <si>
    <t>● MSFD TG Marine Litter</t>
  </si>
  <si>
    <t xml:space="preserve">4.1.2 </t>
  </si>
  <si>
    <t>To make information available to UNEA through IMO or UNEP/MAP, as appropriate</t>
  </si>
  <si>
    <t>Number of updates provided</t>
  </si>
  <si>
    <t>4.2 Capacity Building / Technical Cooperation</t>
  </si>
  <si>
    <t xml:space="preserve">4.2.1 </t>
  </si>
  <si>
    <t>To implement targeted technical cooperation and Capacity-building activities, in the Mediterranean to address relevant implementation issues related to the Regional Plan on Marine Litter Management in the Mediterranean and the IMO Action Plan to Address Marine Plastic Litter from Ships especially within the framework of the “Marine Litter-MED II” Project (e.g. scaling up and pilot project implementation of related measures of the Regional Plan on Marine Litter Management in the Mediterranean) and the IMO’s Integrated Technical Cooperation Programme (ITCP), as appropriate;</t>
  </si>
  <si>
    <t>Number of trained personnel</t>
  </si>
  <si>
    <t>4.2.2</t>
  </si>
  <si>
    <t xml:space="preserve">To promote the collaboration among private sector operators, particularly cruise companies, to address single-use-plastics within their operations (i.e. hospitality services, toiletteries) </t>
  </si>
  <si>
    <t>Number of companies that take measures to address SUP</t>
  </si>
  <si>
    <t>4.2.3</t>
  </si>
  <si>
    <t>To contribute to the possible adjustments of the IMO model course “Marine Environmental Awareness 1.38” to specifically address marine plastic litter, and promote its use in the Mediterranean.</t>
  </si>
  <si>
    <t xml:space="preserve">% of CPs contributing </t>
  </si>
  <si>
    <t>4.2.4</t>
  </si>
  <si>
    <t>To contribute to the possible establishment of externally funded major projects under the auspices of IMO in support of the IMO Action Plan to Address Marine Plastic Litter from Ships, such as the] IMO-FAO-Norway GloLitter Partnerships Project, and their subsequent implementation in the Mediterranean, as appropriate</t>
  </si>
  <si>
    <t>Number of CP contributing</t>
  </si>
  <si>
    <t>4.2.5</t>
  </si>
  <si>
    <t>To increase awareness on and use of, if needed, the services made available by EMSA in support of the Transposition, Implementation, and Enforcement following the Ratification of International Conventions offered under the SAFEMED project</t>
  </si>
  <si>
    <t xml:space="preserve">% of CPs aware of such services </t>
  </si>
  <si>
    <t>4.2.6</t>
  </si>
  <si>
    <t>To increase awareness on and use of, if needed, the services developed and made available by EMSA with the aim to extend cooperation in the area of Directive 2002/59/EC – VTMIS (as amended).</t>
  </si>
  <si>
    <t>4.3 Operations</t>
  </si>
  <si>
    <t xml:space="preserve">4.4 Governance </t>
  </si>
  <si>
    <t>4.4.1</t>
  </si>
  <si>
    <t>To strengthen the capacity of individual coastal States to respond efficiently to pollution by marine plastic litter</t>
  </si>
  <si>
    <t>% of CPs having the capacity to respond efficiently to pollution by marine plastic litter</t>
  </si>
  <si>
    <t>4.4.2</t>
  </si>
  <si>
    <t xml:space="preserve">To implement specific actions to address marine plastic litter from ships in the Mediterranean arising from the Regional Plan on Marine Litter Management in the Mediterranean, the IMO Action Plan to Address Marine Plastic Litter from Ships, as well as other relevant plans or initiatives, including the forthcoming IMO Strategy on marine plastic litter from ships, as appropriate; </t>
  </si>
  <si>
    <t>4.4.2a</t>
  </si>
  <si>
    <t>● Fully implement relevant provisions of the Regional Plan on Marine Litter Management in the Mediterranean</t>
  </si>
  <si>
    <t>% of CPs having fully implemented relevant provisions of the Regional Plan on Marine Litter Management in the Mediterranean</t>
  </si>
  <si>
    <t>4.4.2b</t>
  </si>
  <si>
    <t>● Fully implement relevant provisions of the IMO Action Plan to Address Marine Plastic Litter from Ships</t>
  </si>
  <si>
    <t>% of CPs having fully implemented relevant provisions of the IMO Action Plan to Address Marine Plastic Litter from Ships</t>
  </si>
  <si>
    <t>4.4.3</t>
  </si>
  <si>
    <t>To explore with the IMO and UNEP/MAP steps that could be taken within their respective mandates to establish synergies with a view to enhancing cooperation and coordination in implementing their respective plans or strategies on marine plastic litter from ships as well as other relevant plans or initiatives.</t>
  </si>
  <si>
    <t>Number of meetings held</t>
  </si>
  <si>
    <t>4.5 Ratification / Transposition</t>
  </si>
  <si>
    <t>4.5.1</t>
  </si>
  <si>
    <t xml:space="preserve">To ratify and implement MARPOL Annex V, to ensure its transposition into national law, and to cooperate to ensure full compliance with its provisions and as appropriate, actions from the IMO Action Plan on plastic litter and microplastics.
Transposition and implementation of related UNEA resolutions/provisions. </t>
  </si>
  <si>
    <t>% of CPs having ratified, transposed and enforcing MARPOL Annex V</t>
  </si>
  <si>
    <t>4.5.2</t>
  </si>
  <si>
    <t>To implement national regulations empowering maritime authorities to require, if they deem it necessary, the Masters of vessels to discharge wastes into designated port reception facilities before sailing</t>
  </si>
  <si>
    <t>% of CPs having implemented the national regulations</t>
  </si>
  <si>
    <t>4.6 Implementation</t>
  </si>
  <si>
    <t xml:space="preserve">4.6.1 </t>
  </si>
  <si>
    <t>4.6.2</t>
  </si>
  <si>
    <t>To encourage CPs to implement the relevant measures provided for in the Regional Plan on Marine Litter Management in the Mediterranean in line with the timetables, using the Operational Guidelines on the Provisions of Reception Facilities in Ports and the Delivery of Ship-Generated Wastes in the Mediterranean (Decision IG.24/11, Annex III) as well as the Guidance Document to Determine the Application of Charges at Reasonable Costs for the Use of Port Reception Facilities or, when Applicable, Application of the No-Special-Fee System, in the Mediterranean (Decision IG.24/11, Annex IV), and sharing best practices and lessons learned in this process in the Mediterranean</t>
  </si>
  <si>
    <t>4.6.2a</t>
  </si>
  <si>
    <t xml:space="preserve">● Ships adhering to MARPOL Annex V requirements </t>
  </si>
  <si>
    <t xml:space="preserve">% of ships adhering to MARPOL Annex V requirements </t>
  </si>
  <si>
    <t>4.6.2b</t>
  </si>
  <si>
    <t>● Implemente relevant obligations under the Regional Plan on Marine Litter Management in the Mediterranean</t>
  </si>
  <si>
    <t>% of CPs implementing relevant obligations under the Regional Plan on Marine Litter Management in the Mediterranean</t>
  </si>
  <si>
    <t>4.6.3</t>
  </si>
  <si>
    <t>To provide assistance to CPs to effectively implement their obligation to provide adequate facilities at ports and terminals for the reception of garbage, as required by regulation 8 of MARPOL Annex V</t>
  </si>
  <si>
    <t>% of CPs’ administrations being effective in carrying out all their responsibilities and obligations under MARPOL Annex V</t>
  </si>
  <si>
    <t>4.6.4</t>
  </si>
  <si>
    <t>To explore and implement (to the extent possible) ways and means to charge reasonable costs for the use of port reception facilities or when applicable, apply a ’No-Special-Fee’ system (including provisions for passively fished waste and the right of delivery).</t>
  </si>
  <si>
    <t xml:space="preserve">Number of ports with a ‘no special fee’ system in place </t>
  </si>
  <si>
    <t>1 per country</t>
  </si>
  <si>
    <t xml:space="preserve">4.6.5 </t>
  </si>
  <si>
    <t>To encourage Contracting Parties to become members of the GGGI and promote national action against ghost gear, including improved producer responsibility regimes.</t>
  </si>
  <si>
    <t>% of CPs signed up to the GGGI</t>
  </si>
  <si>
    <t>4.7 Enforcement</t>
  </si>
  <si>
    <t xml:space="preserve">4.7.1 </t>
  </si>
  <si>
    <t>To contribute to the development of possible IMO mechanisms to enhance the enforcement of MARPOL Annex V requirements for the delivery of garbage to reception facilities, and their implementation in the Mediterranean;</t>
  </si>
  <si>
    <t xml:space="preserve">4.7.2 </t>
  </si>
  <si>
    <t xml:space="preserve">To set-up a national legal framework (regulations) as a basis for prosecuting discharge offenders for infringements of MARPOL Annex V </t>
  </si>
  <si>
    <t>4.7.3</t>
  </si>
  <si>
    <t>To apply criteria for a common minimum level of fines for each offense provided for under MARPOL Annex V</t>
  </si>
  <si>
    <t xml:space="preserve">% of CPs applying common minimum level of fines </t>
  </si>
  <si>
    <t>4.7.4</t>
  </si>
  <si>
    <t>To carry out FSI inspections to ensure that registered vessels, including pleasure carft and fishing boats, comply with MARPOL Annex V requirements and any other national rules and regulations;</t>
  </si>
  <si>
    <t>Number of inspections, deficiencies found, and ships detained</t>
  </si>
  <si>
    <t xml:space="preserve">100% compliance </t>
  </si>
  <si>
    <t>4.7.5</t>
  </si>
  <si>
    <t xml:space="preserve">To improve effectiveness of the Memorandum of Understanding (MoU) on port State control (PSC) in the Mediterranean region (Mediterranean MoU) and to facilitate cooperation between the Paris MoU and the Mediterranean MoU </t>
  </si>
  <si>
    <t xml:space="preserve">Number of joint concentrated inspections </t>
  </si>
  <si>
    <t>4.8 Port Reception Facilities</t>
  </si>
  <si>
    <t>4.8.1</t>
  </si>
  <si>
    <t>To contribute to the development of IMO tools to support the implementation of cost frameworks associated with port reception facilities, taking into account the need not to create disincentives for the use of port reception facilities, the potential benefits of cost incentives that provide no additional fees based on volume and identifying waste types that can be reduced, reused or recycled through schemes that identify waste revenue</t>
  </si>
  <si>
    <t xml:space="preserve">Number of ports having installed facilities for the collection of garbage and procedures for its disposal; </t>
  </si>
  <si>
    <t>4.8.2</t>
  </si>
  <si>
    <t>To provide adequate reception facilities in Mediterranean ports, enabling their use as soon as they are available at a fee which should be reasonable and should not serve as a disincentive for those ships that use them for the disposal of garbage</t>
  </si>
  <si>
    <t>Number of ports with collection and disposal procedures for garbage in place</t>
  </si>
  <si>
    <t>4.8.3</t>
  </si>
  <si>
    <t xml:space="preserve">To contribute to the establishment of possible IMO requirement for port reception facilities </t>
  </si>
  <si>
    <t xml:space="preserve">% CPs contributing </t>
  </si>
  <si>
    <t>4.8.4</t>
  </si>
  <si>
    <t>To provide for separate garbage collection for plastic waste from ships, including fishing gear</t>
  </si>
  <si>
    <t>% of CPs provided seperate collection</t>
  </si>
  <si>
    <t>4.8.5</t>
  </si>
  <si>
    <t>To provide assistance to CPs to effectively manage marine litter accidentally collected during fishing activities (the so-called “Fishing for Litter”) as well as damaged fishing gears, providing assistance to realise adequate port reception facilities and cooperation within stakeholders</t>
  </si>
  <si>
    <t xml:space="preserve">% of CPs to have requested assistance </t>
  </si>
  <si>
    <t>4.9 Alternative energy / New Technologies</t>
  </si>
  <si>
    <t xml:space="preserve">4.10 Response means </t>
  </si>
  <si>
    <t xml:space="preserve">4.11 Surveillance / Monitoring Means </t>
  </si>
  <si>
    <t xml:space="preserve">4.11.1 </t>
  </si>
  <si>
    <t>To assist CPs in setting up surveillance / monitoring systems, including procedures and systems both in port and around the coast (aerial surveillance using RPAS)</t>
  </si>
  <si>
    <t>% number of CPs having a surveillance / monitoring system in place</t>
  </si>
  <si>
    <t>4.11.2</t>
  </si>
  <si>
    <t xml:space="preserve">To carry out FSI and PSC inspections to ensure that vessels and crafts are in compliance with MARPOL Annex V  </t>
  </si>
  <si>
    <t>Number of inspections / detentions</t>
  </si>
  <si>
    <t>No detentions</t>
  </si>
  <si>
    <t>4.12 Standards / Guidelines</t>
  </si>
  <si>
    <t>4.12.1</t>
  </si>
  <si>
    <t>To promote, disseminate and revise the existing recommendations, principles and guidelines, to develop new ones aimed at facilitating the implementation of MARPOL Annex V:</t>
  </si>
  <si>
    <t>4.12.1a</t>
  </si>
  <si>
    <t>● IMO Action Plan to address marine plastic litter from Ships (Res. MEPC.310(73));</t>
  </si>
  <si>
    <t>4.12.1b</t>
  </si>
  <si>
    <t>● 2017 Guidelines for the Implementation of MARPOL Annex V (Res.MEPC.295(71)</t>
  </si>
  <si>
    <t>4.12.1c</t>
  </si>
  <si>
    <t>● Guidelines concerning Pleasure Craft Activities and the Protection of the Marine Environment in the Mediterranean (Decision IG 17/9);;</t>
  </si>
  <si>
    <t>4.12.1d</t>
  </si>
  <si>
    <t>● Operational Guidelines on the Provisions of Reception Facilities in Ports and the Delivery of Ship-Generated Wastes in the Mediterranean (Decision IG.24/11, Annex III); and</t>
  </si>
  <si>
    <t>4.12.1e</t>
  </si>
  <si>
    <t>● Guidance Document to Determine the Application of Charges at Reasonable Costs for the Use of Port Reception Facilities or, when Applicable, Application of the ‘No Special Fee System’, in the Mediterranean (Decision IG.24/11, Annex IV).</t>
  </si>
  <si>
    <t>4.12.2</t>
  </si>
  <si>
    <t>To contribute to the IMO review of the application of placards, garbage management plans and garbage record-keeping in MARPOL Annex V in the Mediterranean.</t>
  </si>
  <si>
    <t>% CPs contributing</t>
  </si>
  <si>
    <t>4.12.3</t>
  </si>
  <si>
    <t>To support and promote the uptake of the FAO Voluntary Guidelines of the Marking of Fishing Gear in the Mediterranean</t>
  </si>
  <si>
    <t>% of CPs using guidelines</t>
  </si>
  <si>
    <t>4.12.4</t>
  </si>
  <si>
    <t>To promote the use of the regional policy guidelines to tackle single-use pastics, being developed under the Barcelona Convention, by port authorities and private sector operators.</t>
  </si>
  <si>
    <t>4.13 Decision Making Tools</t>
  </si>
  <si>
    <t>4.13.1a</t>
  </si>
  <si>
    <t>To increase awareness of any decision-support tools available to the CPs and industry</t>
  </si>
  <si>
    <t>4.13.2b</t>
  </si>
  <si>
    <t>4.14 Monitoring and Reporting Obligations</t>
  </si>
  <si>
    <t xml:space="preserve">4.14.1 </t>
  </si>
  <si>
    <t>To comply with the mandatory reporting obligations under the London Convention, the London Protocol, MARPOL Annex V, and on a regional basis, the Dumping Protocol, while noting contents of MEPC.1/Circ834/Rev1; MEPC.295(71), MEPC.310(73)</t>
  </si>
  <si>
    <t>4.14.2</t>
  </si>
  <si>
    <t>To establish a single and uniform monitoring systems in ports and coastal region in connection with UNEP/MAP IMAP</t>
  </si>
  <si>
    <t>4.14.3</t>
  </si>
  <si>
    <t>To provide information on the monitoring, reporting and verification of the level of marine plastic litter in ports and within coastal waters and to share their experiences and best practices;</t>
  </si>
  <si>
    <t xml:space="preserve">4.15 Research and Development </t>
  </si>
  <si>
    <t>4.15.1</t>
  </si>
  <si>
    <t>To encourage the CPs and relevant international or regional organisations that have conducted any scientific research related to marine litter in the Mediterranean to share the results of such research, including any information on the areas contaminated by marine plastic litter from ships in the Mediterranean</t>
  </si>
  <si>
    <t xml:space="preserve">% of CPs to participating in relevant studies </t>
  </si>
  <si>
    <t>4.15.2</t>
  </si>
  <si>
    <t>To encourage CPs to contribute, by undertaking studies at national level, to the IMO study on marine plastic litter and other regional studies and projects of regional or sub-regional scope, such as those funded by the EU including macro and microplastics, from all ships, pleasure boats and fishing boats</t>
  </si>
  <si>
    <t>4.15.3</t>
  </si>
  <si>
    <t>To invite CPs and relevant international or regional organisations to undertake studies to better understand microplastics from ships in the Mediterranean.</t>
  </si>
  <si>
    <t>% CPs / int’l organisations contributing</t>
  </si>
  <si>
    <t>CSO 5 - ELIMINATE THE INTRODUCTION OF NON-INDIGENOUS SPECIES BY SHIPPING ACTIVITIES</t>
  </si>
  <si>
    <t>5.1 Networks</t>
  </si>
  <si>
    <t>5.1.1</t>
  </si>
  <si>
    <t xml:space="preserve">To contribute to the work of United Nations bodies and agencies, as well as international fora, which are active in the matter of biosafety, notably the: </t>
  </si>
  <si>
    <t>% of CPs participating in relevant international working groups</t>
  </si>
  <si>
    <t>5.1.1a</t>
  </si>
  <si>
    <t>● IMO (MEPC; PPR-WGs; CGs on ballast water and biofouling)</t>
  </si>
  <si>
    <t>5.1.1b</t>
  </si>
  <si>
    <t>● Regional Activity Centre for Specially Protected Areas (SPA/RAC)</t>
  </si>
  <si>
    <t>5.1.1c</t>
  </si>
  <si>
    <t>● EMSA</t>
  </si>
  <si>
    <t>5.2 Capacity Building / Technical Cooperation</t>
  </si>
  <si>
    <t>5.2.1</t>
  </si>
  <si>
    <t>To implement targeted technical cooperation and Capacity-building activities, in the Mediterranean to address implementation issues related to biosafety, namely the effective implementation of:</t>
  </si>
  <si>
    <t>5.2.1a</t>
  </si>
  <si>
    <t>● the Mediterranean Strategy on Ships’ Ballast Water Management, including its Action Plan and Timetable (the “Mediterranean BWM Strategy”)</t>
  </si>
  <si>
    <t>1 newly trained personnel per country per subject</t>
  </si>
  <si>
    <t>5.2.1b</t>
  </si>
  <si>
    <t>● the International Convention for the Control and Management of Ships’ Ballast Water and Sediments, 2004 (BWM Convention);</t>
  </si>
  <si>
    <t>5.2.1c</t>
  </si>
  <si>
    <t>● the International Convention on the Control of Harmful Anti-fouling Systems on Ships, 2001 (AFS Convention); and</t>
  </si>
  <si>
    <t>5.2.1d</t>
  </si>
  <si>
    <t>● the 2011 Guidelines for the control and management of ships’ biofouling to minimize the transfer of invasive aquatic species (Biofouling Guidelines), and associated best practices</t>
  </si>
  <si>
    <t>5.2.2</t>
  </si>
  <si>
    <t>To contribute to the possible establishment of externally funded major projects under the auspices of IMO in support of the BWM Convention, AFS Convention or Biofouling Guidelines, such as the on-going Global Environment Facility (GEF)-United Nations Development Programme (UNDP)-IMO GloFouling Partnerships, and their subsequent implementation in the Mediterranean, as appropriate</t>
  </si>
  <si>
    <t>5.2.3</t>
  </si>
  <si>
    <t>To increase awareness on and use, if needed, the services made available by EMSA in support of the Transposition, Implementation, and Enforcement following the Ratification of International Conventions offered under the SAFEMED project.</t>
  </si>
  <si>
    <t>% of CPs aware of such services</t>
  </si>
  <si>
    <t>5.2.4</t>
  </si>
  <si>
    <t>To increase awareness on and use, if needed, the services made available by EMSA with the aim to extend cooperation in the area of Directive 2002/59/EC – VTMIS (as amended).</t>
  </si>
  <si>
    <t xml:space="preserve">5.3 Operations </t>
  </si>
  <si>
    <t xml:space="preserve">5.4 Governance </t>
  </si>
  <si>
    <t>5.4.1</t>
  </si>
  <si>
    <t xml:space="preserve">To implement the Mediterranean BWM Strategy </t>
  </si>
  <si>
    <t>% of CP having implemented the Mediterranean Strategy</t>
  </si>
  <si>
    <t>5.5 Ratification / Transposition</t>
  </si>
  <si>
    <t>5.5.1</t>
  </si>
  <si>
    <t>To ratify and transpose the BWM Convention and the AFS Convention</t>
  </si>
  <si>
    <t>% of CPs having ratified, transposed and enforcing the BWM Convention and the AFS Convention</t>
  </si>
  <si>
    <t>5.6 Implementation</t>
  </si>
  <si>
    <t>5.7 Enforcement</t>
  </si>
  <si>
    <t>5.7.1</t>
  </si>
  <si>
    <t>Establish a effective Compliance Monitoring and Enforcement (CME) system in the Mediterranean region</t>
  </si>
  <si>
    <t>Date of establishment of CME</t>
  </si>
  <si>
    <t>5.7.2</t>
  </si>
  <si>
    <t xml:space="preserve">To set-up a national legal framework (regulations) as a basis for prosecuting discharge offenders for infringements of the BWM Convention and AFS Convention </t>
  </si>
  <si>
    <t>5.7.3</t>
  </si>
  <si>
    <t>To apply criteria for a common minimum level of fines for each offense provided for under the BWM Convention and AFS Convention</t>
  </si>
  <si>
    <t>5.7.4</t>
  </si>
  <si>
    <t>FSI to ensuring that registered vessels, including pleasure carft and fishing boats, comply with the BWM Convention and AFS Convention requirements and any other national rules and regulations;</t>
  </si>
  <si>
    <t>Number of inspections, of inspections, deficiencies found, and ships detained</t>
  </si>
  <si>
    <t xml:space="preserve">100% Compliance </t>
  </si>
  <si>
    <t>5.7.5</t>
  </si>
  <si>
    <t xml:space="preserve">To improve effectiveness of the Mediterranean MoU and to facilitate cooperation between the Paris MoU and the Mediterranean MoU </t>
  </si>
  <si>
    <t>5.8 Port Reception Facilities</t>
  </si>
  <si>
    <t>5.8.1</t>
  </si>
  <si>
    <t xml:space="preserve">To provide adequate reception facilities in Mediterranean ports, enabling their use as soon as they are available at a fee which should be reasonable and should not serve as a disincentive for thedisposal of ships’ ballast water sediments. </t>
  </si>
  <si>
    <t xml:space="preserve">% of major ports and terminals where cleaning or repair of ballast tanks comply with the provisions of the BWM Convention </t>
  </si>
  <si>
    <t>5.9 Alternative Energy / New Technologies</t>
  </si>
  <si>
    <t xml:space="preserve">5.10 Response Means </t>
  </si>
  <si>
    <t>5.11 Surveillance / Monitoring Means</t>
  </si>
  <si>
    <t>5.11.1</t>
  </si>
  <si>
    <t xml:space="preserve">Operational and accessible testing of ballast water in national laboratories </t>
  </si>
  <si>
    <t>% of CPs having testing facilities</t>
  </si>
  <si>
    <t>5.11.2</t>
  </si>
  <si>
    <t xml:space="preserve">To develop a database of new introductions of non-indigenous species recorded in the Mediterranean via ballast water </t>
  </si>
  <si>
    <t>Database established</t>
  </si>
  <si>
    <t xml:space="preserve">5.12 Standards / Guidelines  </t>
  </si>
  <si>
    <t>5.12.1</t>
  </si>
  <si>
    <t>To promote, disseminate and revise the existing recommendations, principles and guidelines, to develop new ones aimed at facilitating the implementation of the BWM Convention, AFS Convention and the Biofouling Guidelines, notably (but not limited to):</t>
  </si>
  <si>
    <t>5.12.1a</t>
  </si>
  <si>
    <t>● Guidance for Minimizing the Transfer of Invasive Aquatic Species as Biofouling (Hull Fouling) for Recreational Craft (MEPC.1/Circ.792)</t>
  </si>
  <si>
    <t>5.12.1b</t>
  </si>
  <si>
    <t>● Guidance for Evaluating the 2011 Guidelines for the Control and Management of Ships' Biofouling to minimize the  Transfer of Invasive Aquatic Species (MEPC.1/Circ.811)</t>
  </si>
  <si>
    <t>5.12.1c</t>
  </si>
  <si>
    <t>● Guidelines Concerning Pleasure Craft Activities and the Protection of the Marine Environment in the Mediterranean (Decision IG 17/9).</t>
  </si>
  <si>
    <t>5.12.1d</t>
  </si>
  <si>
    <t>● Ballast Water Management - Guidance for best practices on sampling (EMSA 2019)</t>
  </si>
  <si>
    <t>5.12.1e</t>
  </si>
  <si>
    <t>● Guidelines for Sediment Reception Facilities (G1) (MEPC.152(55));</t>
  </si>
  <si>
    <t>5.12.1f</t>
  </si>
  <si>
    <t xml:space="preserve"> ● Guidelines for Ballast Water Sampling (G2) (MEPC.173(58));</t>
  </si>
  <si>
    <t>5.12.1g</t>
  </si>
  <si>
    <t>● Guidelines for Ballast Water Management equivalent compliance (G3) (MEPC.123(53));</t>
  </si>
  <si>
    <t>5.12.1h</t>
  </si>
  <si>
    <t>● Guidelines for Ballast Water Management and Development of Ballast Water Mana2017 Guidelines gement Plans (G4) (MEPC.127(53));</t>
  </si>
  <si>
    <t>5.12.1i</t>
  </si>
  <si>
    <t>● Guidelines for Ballast Water Reception Facilities (G5) (MEPC.153(55));</t>
  </si>
  <si>
    <t>5.12.1j</t>
  </si>
  <si>
    <t>● 2017 Guidelines for Ballast Water Exchange (G6) (MEPC.288(71));</t>
  </si>
  <si>
    <t>5.12.1k</t>
  </si>
  <si>
    <t>● 2017 Guidelines for Risk Assessment under Regulation A-4 of the BWM Convention (G7) (MEPC.289(71));</t>
  </si>
  <si>
    <t>5.12.1l</t>
  </si>
  <si>
    <t>● Guidelines for approval of Ballast Water Management Systems (G8) (MEPC.279(70));</t>
  </si>
  <si>
    <t>5.12.1m</t>
  </si>
  <si>
    <t>● Procedure for approval of Ballast Water Management Systems that make use of active substances (G9) (MEPC.169(57));</t>
  </si>
  <si>
    <t>5.12.1n</t>
  </si>
  <si>
    <t>● Guidelines for approval and oversight of prototype Ballast Water Treatment technology programmes (G10) (MEPC.140(54));</t>
  </si>
  <si>
    <t>5.12.1o</t>
  </si>
  <si>
    <t>● Guidelines for Ballast Water exchange design and construction standards (G11) (MEPC.149(55));</t>
  </si>
  <si>
    <t>5.12.1p</t>
  </si>
  <si>
    <t>● 2012 Guidelines on design and construction to facilitate sediment control on ships (G12) (MEPC.209(63));</t>
  </si>
  <si>
    <t>5.12.1q</t>
  </si>
  <si>
    <t>● Guidelines for additional measures regarding ballast water management including emergency situations (G13) (MEPC.161(56));</t>
  </si>
  <si>
    <t>5.12.1r</t>
  </si>
  <si>
    <t>● Guidelines on designation of areas for ballast water exchange (G14) (MEPC.151(55));</t>
  </si>
  <si>
    <t>5.12.1s</t>
  </si>
  <si>
    <t>● The Experience-building phase associated with the BWM Convention, (MEPC.290(71));</t>
  </si>
  <si>
    <t>5.12.1t</t>
  </si>
  <si>
    <t>● Implementation of the BWM Convention, (MEPC.287(71));</t>
  </si>
  <si>
    <t>5.12.1u</t>
  </si>
  <si>
    <t>● Guidelines for Port State Control under the BWM Convention, (MEPC.252(67));</t>
  </si>
  <si>
    <t>5.12.1v</t>
  </si>
  <si>
    <t>● Information reporting on type approved ballast water management systems, (MEPC.228(65));</t>
  </si>
  <si>
    <t>5.12.1w</t>
  </si>
  <si>
    <t>● Procedures for approving other methods of ballast water management in accordance with Regulation B-37 of the BWM Convention, (MEPC.206(62));</t>
  </si>
  <si>
    <t>5.12.1x</t>
  </si>
  <si>
    <t>● Installation of ballast water management systems on new ships in accordance with the application dates contained in the BWM Convention, (MEPC.188(60));</t>
  </si>
  <si>
    <t>5.12.1y</t>
  </si>
  <si>
    <t>● Application of the BWM Convention to ships operating in sea areas where ballast water exchange in accordance with requirements B-4.1 and D-1 is not possible, (BWM.2/Circ.63));</t>
  </si>
  <si>
    <t>5.12.1z</t>
  </si>
  <si>
    <t>● Guidance on contingency measures under the BWM Convention, (BWM.2/Circ.62));</t>
  </si>
  <si>
    <t>5.12.1aa</t>
  </si>
  <si>
    <t>● Guidance on methodologies that may be used for enumerating viable organisms for type approval of ballast water management systems, (BWM.2/Circ.61));</t>
  </si>
  <si>
    <t>5.12.1bb</t>
  </si>
  <si>
    <t>● Guidance on best management practices for removal of anti-fouling coatings from ships including TBT hull paints, (AFS.3/Circ.3));</t>
  </si>
  <si>
    <t>5.12.1cc</t>
  </si>
  <si>
    <t>● 2010 Guidelines for Survey and Certification of Anti-Fouling Systems on Ships, MEPC.195(61)).</t>
  </si>
  <si>
    <t>5.13 Decision Making Tools</t>
  </si>
  <si>
    <t>5.13.1</t>
  </si>
  <si>
    <t>To explored possible interaction and capitalisation of decision support tools available at Mediterranean and European levels, notably:</t>
  </si>
  <si>
    <t>5.13.1a</t>
  </si>
  <si>
    <t>● Set up a web-based Mediterranean mechanism for exchanging information based on existing tools including the Marine Mediterranean Invasive Alien Species (MAMIAS)</t>
  </si>
  <si>
    <t>5.13.1b</t>
  </si>
  <si>
    <t>● Use risk assessment as a reliable tool to assist in ballast water management decision-making and in compliance, monitoring and enforcement procedures</t>
  </si>
  <si>
    <t>5.14 Monitoring and Reporting Obligations</t>
  </si>
  <si>
    <t>5.14.1</t>
  </si>
  <si>
    <t xml:space="preserve">To comply with the mandatory reporting obligations under the BWM Convention, and on a regional basis, under the Regional Strategy addressing Ship’s ballast water management and invasive species (Decision IG20/11), while noting contents of resolutions MEPC.289(71), MEPC.151(55), MEPC.152(55), MEPC.161(56), MEPC.228(65), </t>
  </si>
  <si>
    <t>5.14.2</t>
  </si>
  <si>
    <t>To establish a survey, biological monitoring and risk assessment system for Mediterranean ports.</t>
  </si>
  <si>
    <t>System established</t>
  </si>
  <si>
    <t xml:space="preserve">5.15 Research and Development </t>
  </si>
  <si>
    <t>5.15.1</t>
  </si>
  <si>
    <t>To participate in IMO and Industry initiatives on new technologies and studies both on a national and regional levels</t>
  </si>
  <si>
    <t>% of CPs participating in relevant studies and initiatives</t>
  </si>
  <si>
    <t>CSO 6 - ACHIEVE A WELL-MANAGED SAFE AND POLLUTION FREE MEDITERRANEAN, WITH INTEGRATED MARINE SPATIAL PLANNING AND DESIGNATION OF SPECIAL AREAS, WHERE SHIPPING ACTIVITY HAS A LIMITED IMPACT UPON THE MARINE ENVIRONMENT</t>
  </si>
  <si>
    <t>6.1 Networks</t>
  </si>
  <si>
    <t>6.1.1</t>
  </si>
  <si>
    <t>To actively participate in networks and groups, and strengthen synergies between relevant networks related to marine spatial planning and the designation of special areas in the Mediterranean, including through:
a) the Priority Actions Programme/Regional Activity Centre (PAP/RAC) for other measure related to Marine Special Planning (MSP),
b) the Regional Activity Centre for Specially Protected Areas (SPA/RAC) for other measure related to Marine Protected Areas (MPAs), Specially Protected Areas of Mediterranean Importance (SPAMIs), Environmentally or Biologically Significant Areas (EBSA)
c) REMPEC, for other measures related to Special Areas under MARPOL and Particularly Sensitive Sea Areas (PSSAs)</t>
  </si>
  <si>
    <t xml:space="preserve">Number of joint activities organised </t>
  </si>
  <si>
    <t>At least 2 joint activities organised</t>
  </si>
  <si>
    <t>6.2 Capacity Building / Technical Cooperation</t>
  </si>
  <si>
    <t>6.2.1</t>
  </si>
  <si>
    <t xml:space="preserve">To implement targeted technical cooperation and Capacity-building activities, in the Mediterranean to address implementation issues related to designation of special areas namely :
a)    Special areas under MARPOL 
b)   PSSAs
c)    Traffic separation schemes (TSS) and other ship routeing systems </t>
  </si>
  <si>
    <t xml:space="preserve">Number of workshops / seminars organised at national or regional levels </t>
  </si>
  <si>
    <t xml:space="preserve">2 or 3 </t>
  </si>
  <si>
    <t>6.2.2</t>
  </si>
  <si>
    <t>To increase awareness on and use, if needed, the Traffic Density Mapping (TDM) services developed and made available by EMSA and aimed at facilitating the marine spatial planning and designation of special areas, where shipping activity has or has no impact on the marine environment</t>
  </si>
  <si>
    <t xml:space="preserve">6.3 Operations </t>
  </si>
  <si>
    <t>6.4 Governance</t>
  </si>
  <si>
    <t>6.4.1</t>
  </si>
  <si>
    <t>To ensure coordination with the relevant national competent authorities and in cooperation with other Mediterranean coastal States to achieve a well-managed safe and pollution free Mediterranean, with integrated marine spatial planning and designation of special areas, where shipping activity has a limited impact upon the marine environment</t>
  </si>
  <si>
    <t>6.4.1a</t>
  </si>
  <si>
    <t>● CPs having coordinated with relevant national competent authorities</t>
  </si>
  <si>
    <t>% of CPs having coordinated with relevant national competent authorities</t>
  </si>
  <si>
    <t>6.4.1b</t>
  </si>
  <si>
    <t>● CPs concerned consulted</t>
  </si>
  <si>
    <t>% of CPs concerned consulted</t>
  </si>
  <si>
    <t>6.4.2</t>
  </si>
  <si>
    <t>When and where possible, and without prejudice to the sovereign right of the States, in close collaboration with the relevant national competent authorities and in cooperation with other Mediterranean coastal States:</t>
  </si>
  <si>
    <t>6.4.2a</t>
  </si>
  <si>
    <t>to assess the feasibility to designate the Mediterranean region as a Special Area under MARPOL Annex IV Prevention of pollution by sewage, and to submit the related proposal to IMO, as appropriate including an assessment on the inclusion of black and grey water,</t>
  </si>
  <si>
    <t>Status of assessment</t>
  </si>
  <si>
    <t>Completed</t>
  </si>
  <si>
    <t>6.4.2b</t>
  </si>
  <si>
    <t>● to continue assessing the feasibility of the designation of certain areas the Mediterranean, as PSSA, and to submit the related proposals to IMO, as appropriate,</t>
  </si>
  <si>
    <t>6.4.2c</t>
  </si>
  <si>
    <t>● to propose additional appropriate routeing systems in the Mediterranean to IMO, where necessary, for possible adoption in accordance with international law;</t>
  </si>
  <si>
    <t xml:space="preserve">Number of proposals </t>
  </si>
  <si>
    <t>To be defined-</t>
  </si>
  <si>
    <t>6.4.2d</t>
  </si>
  <si>
    <t>● to draw up plans to deal with ships in distress, including, appropriate equipment and means, as required, and have defined the modalities of the response according to its nature and to the risk incurred;</t>
  </si>
  <si>
    <t>% of CPs having drawn up plans to deal with ships in distress</t>
  </si>
  <si>
    <t>6.4.3</t>
  </si>
  <si>
    <t xml:space="preserve">To take into account conservation management recommendations as described in ACCOBAMS Resolution 7.12 </t>
  </si>
  <si>
    <t>% of CPs implementing recommendations</t>
  </si>
  <si>
    <t>6.5 Ratification / Transposition</t>
  </si>
  <si>
    <t>6.5.1</t>
  </si>
  <si>
    <t>To ensure through appropriate national laws and regulations and institutional arrangements proper implementation, compliance monitoring and enforcement of domestic legislation of IMO measures related to PSSAs, routeing systems and Special Areas under MARPOL</t>
  </si>
  <si>
    <t>% of CPs having national laws and regulations and institutional arrangements in place</t>
  </si>
  <si>
    <t>6.6 Implementation</t>
  </si>
  <si>
    <t>6.6.1</t>
  </si>
  <si>
    <t>To develop a national work plan to execute the development and implementation of PSSA, routeing systems and Special Areas under MARPOL</t>
  </si>
  <si>
    <t xml:space="preserve">% of CPS with a national work plan </t>
  </si>
  <si>
    <t>6.7 Enforcement</t>
  </si>
  <si>
    <t>6.7.1</t>
  </si>
  <si>
    <t xml:space="preserve">To set-up a national legal framework (regulations) as a basis for prosecuting offenders for infringements of requirements of routeing measures, PSSAs, and Special Areas under MARPOL </t>
  </si>
  <si>
    <t>% of CPs with national legal framework in place</t>
  </si>
  <si>
    <t>6.7.2</t>
  </si>
  <si>
    <t>To set-up an effective compliance programme incorporating all of the following elements:
a)	Compliance monitoring through routine inspections, surveys, and/or examinations;
b)	Detection and policing “patrols“;
c)	Reporting procedures and incentives, including incentives for self-reporting;
d)	Adequate investigations of violations reported or otherwise detected;
e)	A system of adequate sanctions in respect of violations;
f)	Education and public awareness programmes; and
g)	Co-operation and co-ordination with other States parties.</t>
  </si>
  <si>
    <t>Date compliance programme is set up.</t>
  </si>
  <si>
    <t xml:space="preserve">6.8 Port Reception Facilities </t>
  </si>
  <si>
    <t xml:space="preserve">6.9 Alternative Energy / New Technologies </t>
  </si>
  <si>
    <t xml:space="preserve">6.10 Response Means </t>
  </si>
  <si>
    <t>6.11 Surveillance / Monitoring Means</t>
  </si>
  <si>
    <t>6.11.1</t>
  </si>
  <si>
    <t>To establish a robust surveillance and monitoring system including installation of Vessel Traffic Services (VTS)</t>
  </si>
  <si>
    <t>% of CPs having established a surveillance system</t>
  </si>
  <si>
    <t>6.11.2</t>
  </si>
  <si>
    <t>To enhance maritime safety, maritime security and marine pollution prevention/ response by strengthening the cooperation on AIS matters and taking part in projects on AIS information sharing thorough the MAREΣ,</t>
  </si>
  <si>
    <t>% of CPs participating</t>
  </si>
  <si>
    <t xml:space="preserve">6.12 Standards / Guidelines </t>
  </si>
  <si>
    <t>6.12.1</t>
  </si>
  <si>
    <t xml:space="preserve">To promote, disseminate and revise the existing recommendations, principles and guidelines, to develop new ones aimed at facilitating the establishment and management of special areas and routeing systems including the: </t>
  </si>
  <si>
    <t>6.12.1a</t>
  </si>
  <si>
    <t>● Guidance Document for Contracting Parties to the Barcelona Convention with regard to identifying and designating Particularly Sensitive Sea Areas in relation to Specially Protected Areas of Mediterranean Importance</t>
  </si>
  <si>
    <t>6.12.1b</t>
  </si>
  <si>
    <t>● Revised guidelines for the identification and designation of Particularly Sensitive Sea Areas (PSSAs) ( resolution A.982(24)); </t>
  </si>
  <si>
    <t>6.12.1c</t>
  </si>
  <si>
    <t>● Guidance note on the preparation of proposals on ships' routeing reporting systems (MSC.1/Circ.1060, as amended);</t>
  </si>
  <si>
    <t>6.12.1d</t>
  </si>
  <si>
    <t>● Procedure for the submission of documents containing proposals for the establishment of, or amendments to, ships' routeing systems or ship reporting systems (MSC.1-Circ.1608); and</t>
  </si>
  <si>
    <t>6.12.1e</t>
  </si>
  <si>
    <t>● Revised Guidelines for vessel traffic services, including Guidelines on Recruitment, Qualifications and Training of VTS Operators (A.857(20)).</t>
  </si>
  <si>
    <t>6.12.2</t>
  </si>
  <si>
    <t xml:space="preserve">To consider the recommendations from the “joint IWC-IUCN-ACCOBAMS workshop on how the data and process used to identify important Marine Mamal Areas (IMMAs) can assist in identifying areas of high risk for ship strikes” (6-7 April 2019, Messinia, Greece) as presented in Annex of the ACCOBAMS Resolution 7.12, and more particularly regarding (i) the process for the designation of a PSSA by IMO at a scale that includes the North West Mediterranean Sea, Slope and Canyon IMMA, plus potentially the Spanish corridor, and (ii) risk reduction measures in the Hellenic Trench .  </t>
  </si>
  <si>
    <t xml:space="preserve">% of CPs aware of such recommendations </t>
  </si>
  <si>
    <t xml:space="preserve">6.13 Decision Making Tools </t>
  </si>
  <si>
    <t>6.13.1a</t>
  </si>
  <si>
    <t>To increase awareness of any decision-support tools available to CPs and industry</t>
  </si>
  <si>
    <t xml:space="preserve"> Stakeholders</t>
  </si>
  <si>
    <t>6.13.1b</t>
  </si>
  <si>
    <t xml:space="preserve">CPs </t>
  </si>
  <si>
    <t>6.14 Monitoring and Reporting Obligations</t>
  </si>
  <si>
    <t xml:space="preserve">6.15 Research and Development </t>
  </si>
  <si>
    <t>6.15.1</t>
  </si>
  <si>
    <t>To carry out the required studies for a submission to IMO addressing all criteria for the designation of a particular area as PSSAs and Special Areas under MARPOL</t>
  </si>
  <si>
    <t xml:space="preserve">Number of studies carried out by interested CPs </t>
  </si>
  <si>
    <t xml:space="preserve">At least 1 / to be defined </t>
  </si>
  <si>
    <t>CSO 7 - IDENTIFY AND UNDERSTAND COLLECTIVELY EMERGING ISSUES RELATED TO POLLUTION FROM SHIPS IN THE MEDITERRANEAN, AND DEFINE REQUIRED ACTIONS TO ADDRESS ISSUES IDENTIFIED</t>
  </si>
  <si>
    <t>7.1 Networks</t>
  </si>
  <si>
    <t>7.1.1</t>
  </si>
  <si>
    <t xml:space="preserve">Identification of relevant network for each issue as it emerges, and active participation in said network on the identified issue </t>
  </si>
  <si>
    <t>% of CPs actively participating in networks related to specifically identified emerging issues</t>
  </si>
  <si>
    <t>7.2 Capacity Building / Technical Cooperation</t>
  </si>
  <si>
    <t>7.2.1</t>
  </si>
  <si>
    <t xml:space="preserve">Identification of training needs, and subsequent implementation of training, related to emerging issues as they arise </t>
  </si>
  <si>
    <t>number of trained personnel for each emerging issue</t>
  </si>
  <si>
    <t>Adequate number of personnel to be trained</t>
  </si>
  <si>
    <t xml:space="preserve">7.3 Operations </t>
  </si>
  <si>
    <t xml:space="preserve">7.4 Governance </t>
  </si>
  <si>
    <t>7.4.1</t>
  </si>
  <si>
    <t>To include the discussion of ‘new and emerging issues’ as a rolling agenda item at the Meeting of the Mediterranean Strategy (2022-2031)</t>
  </si>
  <si>
    <t>Number of discussions held on potential new and emerging issues</t>
  </si>
  <si>
    <t xml:space="preserve">Once per year </t>
  </si>
  <si>
    <t>7.4.2</t>
  </si>
  <si>
    <t>To submit proposals for the inclusion of new emerging issues to assess the need for a revised Strategy and Action Plan at the Meeting of the Mediterranean Strategy (2022-2031)</t>
  </si>
  <si>
    <t>Number of submissions</t>
  </si>
  <si>
    <t xml:space="preserve">As appropriate </t>
  </si>
  <si>
    <t>7.5 Ratification / Transposition</t>
  </si>
  <si>
    <t>7.6 Implementation</t>
  </si>
  <si>
    <t>7.7 Enforcement</t>
  </si>
  <si>
    <t xml:space="preserve">7.8 Port Reception Facilities </t>
  </si>
  <si>
    <t>7.9 Alternative Energy / New Technology</t>
  </si>
  <si>
    <t xml:space="preserve">7.10 Response Means </t>
  </si>
  <si>
    <t>7.11 Surveillance / Monitoring Means</t>
  </si>
  <si>
    <t>7.12 Standards / Guidelines</t>
  </si>
  <si>
    <t xml:space="preserve">7.13 Decision Making Tools </t>
  </si>
  <si>
    <t>7.14 Monitoring and Reporting Obligations</t>
  </si>
  <si>
    <t xml:space="preserve">7.15 Research and Development </t>
  </si>
  <si>
    <t>7.15.1</t>
  </si>
  <si>
    <t>To support and participate in research and development initiatives to investigate new and emerging issues related to pollution from ships in the Mediterranean</t>
  </si>
  <si>
    <t xml:space="preserve">Number of CPs participating </t>
  </si>
  <si>
    <t>Needs type</t>
  </si>
  <si>
    <t>In Progress</t>
  </si>
  <si>
    <t xml:space="preserve">UfM Blue Economy and Environment dossiers/agendas
 </t>
  </si>
  <si>
    <t>UfM Blue Economy and Environment dossiers/agendas</t>
  </si>
  <si>
    <t>Wide range of capitalisation and capacity building activities organized under the UfM's Blue Economy and Environment dossiers (including webinars, working group meetings, and capitalisation and exchange of best practices in the context of relevant EU and non-EU funded projects/initiatives). This includes (for example): Presenting the UfM labelled Plastic Busters Initiative during a session at the 2020 Forum on Marine Protected Areas; intervention/participation at meetings (including the final event) of the BlueDEAL project on MRE (example, among numerous other projects); Presentation of UfM policy advances on marine litter in the Euro-Mediterranean region during Interreg Med Plastic Busters MPAs capitalization event; Co-organization of workshop with DG RTD, DG MARE and DG ENV on Working together towards a Mediterranean lighthouse for the
Mission Restore our Ocean and Waters; Participation in the WestMED Steering Committee and relevant WestMED meetings and activities; Publication of a UfM/CPMR Operational Handbook on ‘Social and economic
regeneration of the Mediterranean after the crisis: shared methods and tools for relaunching a sustainable post COVID-19 tourism model’ (...)</t>
  </si>
  <si>
    <t xml:space="preserve">This work takes place under the implementation of the 2021 UfM Ministerial Declaration on Sustainable Blue Economy (under the UfM's Blue Economy dossier) as well as under the UfM 2030 Agenda for a Greener Med (UfM Environment dossier and agenda). </t>
  </si>
  <si>
    <t>Through the UfM's Blue Economy and Environment dossiers, the UfM works with a wide range of partners and networks, including but not limited to: UNEP/MAP + RACs ; CPRM; UNESCO IOC (+ UNDP; UN Environment..); CPRM; EU (DG MARE; DG RTD, DG ENV…); a wide range of UfM labelled and non-labelled EU and non-EU projects; WestMED; Interreg Euro-MED 2021-2027; ENI CBC Med; H2020; Mission Restore our Ocean and Waters and its Mediterranean Lighthouse; WWF; MedWet; UNFCCC; FAO; Prince Albert Foundation; CIHEAM; EIB; EBRD...etc. relevant to a higher or lesser degree to the scope of REMPEC</t>
  </si>
  <si>
    <t>Ongoing</t>
  </si>
  <si>
    <t xml:space="preserve">UfM Sustainable Blue Economy and Environment Dossier and agenda
</t>
  </si>
  <si>
    <t>UfM Sustainable Blue Economy and Environment Dossier and agenda</t>
  </si>
  <si>
    <t>Both in the context of the UfM's Blue Economy and Environment dossiers, the UfM takes an active part in relevant meetings (or co-organises relevant meetings), including but not limited to in the context of: UNEP MAP + RACs; Marlice 2022 (marine litter and SCP); CPMR; SwitchMed Programme (10 May, 2022: Meeting in Barcelona on Fostering Circular Blue Economy in the Mediterranean); Plastic Busters Initiative; The Mission Restore our Oceans and Waters by 2030 and its Mediterranean lighthouse on Marine Pollution with an initial focus in marine litter; COP 27; UN Ocean Summit in Lisbon; One Ocean Summit; Our Ocean Summit...</t>
  </si>
  <si>
    <t>UfM Blue Economy Roadmap</t>
  </si>
  <si>
    <t>In the context of the Roadmap for the implementation of the 2021 UfM Ministerial Declaration on Sustainable Blue Economy, UfM member countries have given the green light to begin concretely cooperating around 3 priority areas or 'groupings' of activites (the 10 Ministerial priorities remain, but countries will begin advancing on these 'priority groupings' the short-term). This includes the diversification of small ports and marinas beyond transportation (including reception facilities).</t>
  </si>
  <si>
    <t>WESTMED Green Shipping Technical Group</t>
  </si>
  <si>
    <t>ongoing</t>
  </si>
  <si>
    <t>technical</t>
  </si>
  <si>
    <t>UFM Sustainable Blue Economy Ministerial dossier and agenda</t>
  </si>
  <si>
    <t>UfM Environment Ministerial and Greener Med Agenda</t>
  </si>
  <si>
    <t>UfM Environment Dossier</t>
  </si>
  <si>
    <t>Namely through the UfM's Environment Dossier, and the GreenerMed Agenda, the UfM has been and is engaged in the context of relevant UNEA meetings and processes (i.e. Expected engagement of Mediterranean countries in the future global agreement on plastic pollution)</t>
  </si>
  <si>
    <t>UfM labelled and supported Plastic Busters Initiative</t>
  </si>
  <si>
    <t>Plastic Busters Initiative</t>
  </si>
  <si>
    <t xml:space="preserve">The UfM's work on Marine Litter  is largely framed under the UfM labelled Plastic Busters Initiative. Today comprised of a series of successful projects part of an overall ongoing process to tackle the entire life-cycle of Marine Litter in the Mediterranean (including plastics - micro and macro) from prevention and mitigation to assessment and monitoring, the initiative is currently in its capitalisation phase (Plastic Busters CAP). The initiative is also a success story in terms of increasing North-South cooperation. </t>
  </si>
  <si>
    <t>Learn more here:
https://plasticbusters.unisi.it/</t>
  </si>
  <si>
    <t>UfM labelled Plastic Busters Initiative</t>
  </si>
  <si>
    <t>in progress</t>
  </si>
  <si>
    <t>UFM Sustainable Blue Economy Ministerial agenda and Roadmap</t>
  </si>
  <si>
    <t xml:space="preserve">In the context of the Roadmap for the implementation of the 2021 UfM Ministerial Declaration on Sustainable Blue Economy, UfM member countries have given the green light to begin concretely cooperating around 3 priority areas or 'groupings' of activites (the 10 Ministerial priorities remain, but countries will begin advancing on these 'priority groupings' the short-term). This includes MSP as an overall Blue Economy sector enabler. In this context, the UfM is working with the UfM Co-Presidenct and the UfM member countries to (possible/TBC, as this set of activites is ongoing), establish a UfM MSP multi-stakeholder informal working group (with potential strong involvement from IOC-UNESCO and relevant regional stakeholders) in order to create a forum for further knowledge creation and transfer (building on MSP MED, MSPGlobal…), and to facilitate result capitalisation on relevant multi-use projects and initiatives, with a focus on increasing policy coherence and harmonization at regional level. This informatl working group could have an initial focus on the integration of MRE in national MSP plans (MSP is key for effective licensing of MRE infrastructures).
TBC: Series of webinars/workshops on MRE with a focus on MSP (building on MSP-Global and WestMED joint webinars on MSP for aquaculture and tourism)?
The UfM will also take part in the WestMED Hackathons on project development (taking place in Valletta on 30 June) ans more specifically in the eession dedicated to MSP and outlining concrete ways forward in the region at technical level (involving relevant organisations and projects such as IOC-UNESCO, EU MSP Platform and the MSP-MED Project ‘Towards the operational implementation of MSP in our common Mediterranean Sea’).
As regards to MSP, the UfM engages and coordination with key Med stakeholders (partners / projects / initiatives / programmes) including but not limited to: UNEP/MAP + RACs + relevant Conventions (Ramsar…); CPRM; UNESCO IOC; UN; CPRM; EU (DG MARE; DG RTD…); UfM countries; Plastic Busters Initiative; MedFund; MSPMed; MedCoasts4BG; Interreg Euro-MED 2021-2027; ENI CBC Med; H2020; Mission Restore our Ocean and Waters + Med Lighthouse… </t>
  </si>
  <si>
    <t>Oil Spill Training</t>
  </si>
  <si>
    <t xml:space="preserve">Ministry of Environmental Protection (Israel) </t>
  </si>
  <si>
    <t xml:space="preserve">IMO Level 2 and 3 </t>
  </si>
  <si>
    <t>Oil Spill Response Limited</t>
  </si>
  <si>
    <t>Project still to be awarded.</t>
  </si>
  <si>
    <t>Unknown</t>
  </si>
  <si>
    <t>Proposal for MOEP personel, course to be delivered in the United Kingdom.</t>
  </si>
  <si>
    <t>Regional Workshop</t>
  </si>
  <si>
    <t>Mediterranean Oil Industry Group (MOIG) Regional Workshop</t>
  </si>
  <si>
    <t>Presentation</t>
  </si>
  <si>
    <t>Regional workshop to enhance oil spill prpearedness and response int eh Adriatic and Mediterranean</t>
  </si>
  <si>
    <t xml:space="preserve">Provision of Tier 3 Response Capability for Exploation activity in Morocco </t>
  </si>
  <si>
    <t>Chariot Limited</t>
  </si>
  <si>
    <t>Contracting tier 3 service provider</t>
  </si>
  <si>
    <t>Tier 3 cover for drilling operations of the Lixus license</t>
  </si>
  <si>
    <t>Duration of cover limited to period of opertions - expected 12/21 - 06/22</t>
  </si>
  <si>
    <t>?</t>
  </si>
  <si>
    <t>Promotion of actions to facilitate the availability and use of LNG in ships crossing the Mediterranean Sea both for navigation and for the supply of ships in port, in order to reduce the impact on marine environment atmospheric and emissions in rear ports to improve air quality in port cities</t>
  </si>
  <si>
    <t>Operation Clean Sweep</t>
  </si>
  <si>
    <t>voluntary free programme aimed at improving awraeness, provding best practices, guidance and tools to support comappnies from the plastic value chasin in the necessary pellet loss prevention measures</t>
  </si>
  <si>
    <t>set up by plastics Europe - promoted by federchimico</t>
  </si>
  <si>
    <t>TRAINING PROGRAMME ON REGIONAL OCEAN GOVERNANCE FOR THE MEDITERRANEAN, BLACK, BALTIC AND CASPIAN SEAS</t>
  </si>
  <si>
    <r>
      <t>This training programme is a flagship activity of IOI that builds upon the more than 35 years' experience of the International Ocean Institute in conducting training and capacity building programmes on ocean governance. One of the main objectives is to assist in the formation of a core of decision-makers who will be aware of the complex global and regional contemporary issues of coastal and ocean management.   </t>
    </r>
    <r>
      <rPr>
        <sz val="12"/>
        <color rgb="FF3E474C"/>
        <rFont val="Georgia"/>
        <family val="1"/>
      </rPr>
      <t> </t>
    </r>
  </si>
  <si>
    <t>MA in Ocean Governance</t>
  </si>
  <si>
    <t>This Masters degree programme on Ocean Governance being offered by the University of Malta in collaboration with the International Ocean Institute is unique in its approach – it aims to forge a knowledge base that is essentially legal but which also delves into the natural and social sciences to determine how an effective regulatory framework should operate. </t>
  </si>
  <si>
    <t>Cedre Information Day</t>
  </si>
  <si>
    <t>annual experience-sharing day</t>
  </si>
  <si>
    <t>CEDRE</t>
  </si>
  <si>
    <t>Each year</t>
  </si>
  <si>
    <t>next one planned on the 21st March 2023 in Paris with FR/EN translation / Topic : spill response training</t>
  </si>
  <si>
    <t xml:space="preserve">Free of charge </t>
  </si>
  <si>
    <t>CEDRE Training courses</t>
  </si>
  <si>
    <t>Cedre training</t>
  </si>
  <si>
    <t>annual training catalogue and client-tailored courses</t>
  </si>
  <si>
    <t>IMO 1 and 2 catalogue courses include exercises with REAL OIL. Client-tailored courses: programme and cost to be discussed</t>
  </si>
  <si>
    <t>catalogue training courses from 2500 to 3000 euros per trainee, all accomodation included</t>
  </si>
  <si>
    <t>Traing courses accreditated by the Nautical Institute and French Ministries of the Environment and Sea</t>
  </si>
  <si>
    <t>Courses include practical exercises. Client-tailored courses: programme and cost to be discussed</t>
  </si>
  <si>
    <t>Cedre/ MOIG agreement</t>
  </si>
  <si>
    <t>annaul regional workshop</t>
  </si>
  <si>
    <t>Regional workshop for MOIG members and authorities. 1-2 POSOW modules delivered during each workshop</t>
  </si>
  <si>
    <t>annual training catalogue and client-tailored courses on aerial observation / shoreline survey / sampling</t>
  </si>
  <si>
    <t>Aerial Observation courses delivered in cooperation with French Customs. Shoreline survey and sampling modules include practical exercses with REAL OIL</t>
  </si>
  <si>
    <t>Client-tailored courses can include different modules designed for aerial observators or shoreline surveyors</t>
  </si>
  <si>
    <t>CEDRE contingency planning and training</t>
  </si>
  <si>
    <t>integrated approach to emergency planning, training and exercises</t>
  </si>
  <si>
    <t>on request</t>
  </si>
  <si>
    <t>service provision</t>
  </si>
  <si>
    <t>https://elearning.cedre.fr</t>
  </si>
  <si>
    <t>Annual ORSEC exercises</t>
  </si>
  <si>
    <t>ORSEC Exercices</t>
  </si>
  <si>
    <t>full scale exercise including taple-top and practical exercises</t>
  </si>
  <si>
    <t>French Navy / CEPPOL</t>
  </si>
  <si>
    <t>one exercise per year on the French Mediterranean area</t>
  </si>
  <si>
    <t>Training and exercising package on HNS</t>
  </si>
  <si>
    <t>EU/DG-ECHO MARINER</t>
  </si>
  <si>
    <t xml:space="preserve">Training package on HNS spill management, Exercise Tool, </t>
  </si>
  <si>
    <t>Cetmar (Spain)</t>
  </si>
  <si>
    <t>Training and exercizing pacakges free downloadable</t>
  </si>
  <si>
    <t>Free of charge</t>
  </si>
  <si>
    <t>http://mariner-project.eu/results/category/5</t>
  </si>
  <si>
    <t>improving the Integrated Response to pollution Accident at sea and chemical risk in port</t>
  </si>
  <si>
    <t>IRAMAR</t>
  </si>
  <si>
    <t>to support Spain, France, Italy, Malta, Morocco, Portugal and Tunisia in improving preparedness for marine pollution events through an integrated approach to response, both at sea, on the shoreline and in ports.</t>
  </si>
  <si>
    <t>French General Secretary for the Sea</t>
  </si>
  <si>
    <t>this project include Work Packages on the use of drones, the best practices for preparedness and response in ports, gaz cloud management, serious game on holistic integrated management of the pollution</t>
  </si>
  <si>
    <t>623000 euros (85% funded by UE/UCPM)</t>
  </si>
  <si>
    <t>Workshop to share experience planned end of 2023 or early 2024</t>
  </si>
  <si>
    <t>NCP</t>
  </si>
  <si>
    <t>Assist national authorities to update their NCP and define respons epolicies</t>
  </si>
  <si>
    <t>Test of response equipment on new LSFO</t>
  </si>
  <si>
    <t>IMAROS</t>
  </si>
  <si>
    <t>Chemical and weathering study of 14 LSFO and test of response techniques</t>
  </si>
  <si>
    <t>Technical reports on LSFO caracteristics and response techniques feasibilty</t>
  </si>
  <si>
    <t>https://www.kystverket.no/en/preparedness-and-emergency-response-against-acute-pollution/research-and-development/imaros_eng/</t>
  </si>
  <si>
    <t>National oil spill contingency planning assessment with RETOS</t>
  </si>
  <si>
    <t>WestMoPoCo</t>
  </si>
  <si>
    <t>self-assessment of level of oil spill preparedness planning/management in Algeria, France, Italy, Malta, Morocco, Spain &amp; Tunisia</t>
  </si>
  <si>
    <t>Technical report and recommendations for improvement programme available for each country</t>
  </si>
  <si>
    <t xml:space="preserve">Technical specifications for the purchase equipment </t>
  </si>
  <si>
    <t>Audit of response stockpiles, identification of gaps, definition of tech. specifications</t>
  </si>
  <si>
    <t>Cedre operational guides</t>
  </si>
  <si>
    <t>Cedre operationnal manuals</t>
  </si>
  <si>
    <t>publications of downloadable technical guides / Up-dating / Adaptation to Med context</t>
  </si>
  <si>
    <t>Around 20 technical guides available, new in progress. Possibility to adapt them to national / regional / Mediterranean context</t>
  </si>
  <si>
    <t>http://wwz.cedre.fr/Ressources/Publications</t>
  </si>
  <si>
    <t>working group</t>
  </si>
  <si>
    <t>Cedre ready to cooperate to the working group</t>
  </si>
  <si>
    <t>group of experts</t>
  </si>
  <si>
    <t>cedre is member of the group</t>
  </si>
  <si>
    <t>technical assistance</t>
  </si>
  <si>
    <t>cedre research and technical assitance program</t>
  </si>
  <si>
    <t>Study of behavior of marine litters, test of response equipment in our pools, lessons learnt from past accidents</t>
  </si>
  <si>
    <t xml:space="preserve">"The parliamentarian’s Guide to protecting the Mediterranean Sea and coast” </t>
  </si>
  <si>
    <t xml:space="preserve">The parliamentarian’s Guide to protecting the Mediterranean Sea and coast” </t>
  </si>
  <si>
    <t xml:space="preserve">The Guide should provide information on the following aspects: 
• The state of the environment and development in the Mediterranean;
•Parliamentarians as advocates for the Mediterranean: green parliamentary diplomacy and engagement with the private sector and civil society, promoting citizen participation and considering the public’s needs and contributions (including aspects pertaining to gender-equality and inclusivity, in line with the “Leave no one behind” principle enshrined in the 2030 Agenda);
• Oversight and monitoring of government policies, national budgets and plans. </t>
  </si>
  <si>
    <t>TBC</t>
  </si>
  <si>
    <t>Project to be carried out in cooperaiton with the UN Environment Program - Mediterranean Action Plan (UNEP/MAP)</t>
  </si>
  <si>
    <t>PAM Resolutions on Environment adopted during PAM Plenary Sessions in Belgrade (2010), Palermo (2011), Malta (2012), Athens (2020), as well as the Final Declaration of the PAM High Level Confrence on Organized Crime and on the revision of the Palermo Convention(Naples, 2022)</t>
  </si>
  <si>
    <t>PAM Special Monitoring  Group on Environment</t>
  </si>
  <si>
    <t>The aforementioned PAM resolutions helped PAM in giving the Assembly the necessary political support from its Members in onitoring on Illegal shipping activities in the Mediterranean, such as the dumping of toxic waste in the Sea.</t>
  </si>
  <si>
    <t xml:space="preserve">Parliamentary Assembly of the Mediterranean (PAM) - PAM 2nd Standing Committee on Socio-Economic and Environmental Cooperation </t>
  </si>
  <si>
    <t xml:space="preserve">CLIA, on behalf of global and regional cruise line members, participates as a non-governmental organization (NGO) in relevant sessions of the International Maritime Organization (IMO) including PPR and MEPC, intersessional working groups, correspondence groups, and HELCOM for environmental protection. </t>
  </si>
  <si>
    <t>CLIA Global Maritime Policy</t>
  </si>
  <si>
    <t>CLIA coordinates with global and regional cruise line members in advisory committees and working groups to share best practices, lessons learned and exchange information regarding environmental stewardship.</t>
  </si>
  <si>
    <t>CLIA Europe coordinates with regional cruise line members in Europe through advisory committees and working groups to share best practices, lessons learned and exchange information regarding environmental stewardship, and to participate in region for a, webinars and workshops.</t>
  </si>
  <si>
    <t>CLIA Europe</t>
  </si>
  <si>
    <t>CLIA coordinates with global and regional cruise line members in advisory committees and working groups to exchange information, share best practices, discuss lessons learned from training and incidents.</t>
  </si>
  <si>
    <t xml:space="preserve">CLIA, on behalf of global and regional cruise line members, participates as a non-governmental organization (NGO) in relevant sessions of the International Maritime Organization (IMO) including PPR and MEPC, intersessional working groups on Greenhouse Gas Reduction, correspondence groups, and HELCOM for environmental protection. </t>
  </si>
  <si>
    <t>Recognizing the technological challenge facing the decarbonization of international shipping, CLIA Members actively promoted adoption by the International Maritime Organization (IMO) of an International Maritime Research and Development Board and Fund (IMRB/F) to generate roughly $5 billion USD over 10 years, funded by industry, to accelerate development and deployment of zero-carbon alternative fuels and propulsion technologies.</t>
  </si>
  <si>
    <t>In support (and above and beyond the IMO Initial Strategy), CLIA Members have agreed to pursue net zero carbon cruising globally by 2050 and to reduce carbon intensity across the CLIA fleet 40% by 2030 compared to 2008 levels.</t>
  </si>
  <si>
    <t xml:space="preserve">CLIA Members have agreed that all ships calling at shoreside electricity (SSE)-capable ports will be equipped to either use SSE by 2035 or will use available alternative low carbon technologies in port. </t>
  </si>
  <si>
    <t xml:space="preserve">CLIA, on behalf of global and regional cruise line members, participates as a non-governmental organization (NGO) in relevant sessions of the International Maritime Organization (IMO) including PPR and MEPC, intersessional working groups, correspondence groups (including on marine plastic litter), and HELCOM for environmental protection. </t>
  </si>
  <si>
    <t>No. of activities recorded?</t>
  </si>
  <si>
    <t>Ipieca oil spill preparedness &amp; response publications</t>
  </si>
  <si>
    <t>Ipieca Oil Spill group peer to peer exchange</t>
  </si>
  <si>
    <t>Ipieca Environment and Ipieca Oil Spill group participation</t>
  </si>
  <si>
    <t>Ipieca website</t>
  </si>
  <si>
    <t>Ipieca GHG Emissions Group</t>
  </si>
  <si>
    <t>Ipieca GHG Emissions group</t>
  </si>
  <si>
    <t>Ipieca Fuels group</t>
  </si>
  <si>
    <t>Ipieca Environment group</t>
  </si>
  <si>
    <t>Ipieca Oill Spill group</t>
  </si>
  <si>
    <t>OPS IN THE MEDCRUISE'S PORTS</t>
  </si>
  <si>
    <t>OPS IN THE CRUISE'S PORTS</t>
  </si>
  <si>
    <t>to obtain a map of the cruise's ports with OPS</t>
  </si>
  <si>
    <t>valeria mangiarotti</t>
  </si>
  <si>
    <t>initial state</t>
  </si>
  <si>
    <t>research and monitoring</t>
  </si>
  <si>
    <t>survey to all ports of our association and discussion with working group of technical environmental solutions to understand the  situation of OPS</t>
  </si>
  <si>
    <t>the dialogue with cruises lines will be strategic to understand the situation in the port autorities</t>
  </si>
  <si>
    <t>study with cruises lines</t>
  </si>
  <si>
    <t>AN  INTEGRATED ENVIRONMENTAL POLICY -PORTS AND CRUISE LINES</t>
  </si>
  <si>
    <t>DISTRIBUTE SURVEY TO CRUISE LINES AND PORTS</t>
  </si>
  <si>
    <t>VALERIA MANGIAROTTI</t>
  </si>
  <si>
    <t>START IN SEPTEMBER</t>
  </si>
  <si>
    <t>1.2.9. a) Fifth Meeting of MENELAS organized and recommendations implemented through technical support provided to CPs, which so request.</t>
  </si>
  <si>
    <t>MTF</t>
  </si>
  <si>
    <t>As MENELAS Secretariat, REMPEC will organise the Fifth Meeting of MENELAS and coordinate the implementation of the related Programme of Activities</t>
  </si>
  <si>
    <t>Programme Officer (Prevention)</t>
  </si>
  <si>
    <t>2022-2023</t>
  </si>
  <si>
    <t>This will cover the following topics:
-Draft common marine oil pollution detection/investigation report; 
-Draft decision to apply criteria for a common minimum level of fines for each offense provided for under the Annexes to MARPOL, within the framework of the Barcelona Convention; and
-Modalities of possible creation and operation of a regional ”Blue Fund”, including in terms of governance and financing.</t>
  </si>
  <si>
    <t>Since this is a continuous activity, it is expected that a Meeting of MENELAS will be organised every two years and that recommendations will be implemented through technical support provided to CPs, which so request.</t>
  </si>
  <si>
    <t>Correspondance Group</t>
  </si>
  <si>
    <t xml:space="preserve">Programme of Work defined by REMPEC's Meeting of Focal Points </t>
  </si>
  <si>
    <t>Programme Officer (OPRC)</t>
  </si>
  <si>
    <t>Continuous</t>
  </si>
  <si>
    <t xml:space="preserve">- to continue supporting the process for the establishment of the Common Emergency Communication System, during the biennium 2022-2023. 
-  to coordinate the input and 
contribution, for the “Development of an operational guide on the response to spills of Hazardous and Noxious Substances (HNS)”, in the framework of the PPR.  </t>
  </si>
  <si>
    <t>0</t>
  </si>
  <si>
    <t xml:space="preserve">1. HNS Response Manual - Bonn Agreement, HELCOM, REMPEC
2. Reciprocal participation to MENELAS/NSN/ENPRO Meetings 
.3 IMAP CI19
.4 Inter-Secretariat Meeting
.5 Update the Action Plan concerning species introduction and invasive species in the Mediterranean Sea (SPA/RAC)
</t>
  </si>
  <si>
    <t>1. Development of international Manual by IMO PPR, 
2. Sharing best practices between RSPs
.3 Alignement between IMAP CI19 and D08C04 MSFD
4. Annual meeting
5. REMPEC input on BWM and bio-fouling</t>
  </si>
  <si>
    <t>Head of Office (REMPEC)</t>
  </si>
  <si>
    <t>1, 3 and 5: 2023
2 and 4: continuous</t>
  </si>
  <si>
    <t xml:space="preserve">Responsible:
1, 3 and 4: Programme Officer (OPRC) / Head of Office
2 and 5: Programme Officer (Prevention)
</t>
  </si>
  <si>
    <t xml:space="preserve">The two-day workshop on ''Compensation for oil pollution damage'' 
</t>
  </si>
  <si>
    <t>ITCP</t>
  </si>
  <si>
    <t>Workshop (ALG, MOR, TUN)</t>
  </si>
  <si>
    <t xml:space="preserve">Explore with IOPC Funds additional workshop to increase level of ratification of Funds Conventions (REMPEC PoW 2024/2025)
</t>
  </si>
  <si>
    <t xml:space="preserve">Workshop on “Oiled Shoreline Assessment Technics (SCAT)’’ 
</t>
  </si>
  <si>
    <t>In the framework of the sub-regional agreement between Cyprus, Greece and Israel</t>
  </si>
  <si>
    <t xml:space="preserve">OFOG Training Programe: 
a) Seismic survey
b) Disposal of Oil and Oily Mixtures and the Use and Disposal of Drilling Fluids and Cuttings
c) Special Restrictions or Conditions for Specially Protected Areas (SPA)
d) Guidelines for the Conduct of EIA
</t>
  </si>
  <si>
    <t>OFOG Training Programme</t>
  </si>
  <si>
    <t>2023</t>
  </si>
  <si>
    <t>Programme to be further expanded</t>
  </si>
  <si>
    <t>250,000</t>
  </si>
  <si>
    <t>50,000 / 2 years</t>
  </si>
  <si>
    <t>Capitalize IMO e-learning platform</t>
  </si>
  <si>
    <t>IMO</t>
  </si>
  <si>
    <t xml:space="preserve">Systematic training for new Focal Points (New IMO e-learning OPRC, other if developed by IMO or other partners)
</t>
  </si>
  <si>
    <t>2022</t>
  </si>
  <si>
    <t>1. MAU MoU REMPEC/ISU
2. Draft decision on MAU revolving fund</t>
  </si>
  <si>
    <t>MTF MAU</t>
  </si>
  <si>
    <t xml:space="preserve">1.MoU with ISU for technical expertise to advice on oil and wreck removal
2. Increase funds and authorise transfer of REMPEC unspent fund
</t>
  </si>
  <si>
    <t>1. Contact established, signature to be explored including training delivery
2. Lesson learnt from XELO 2022 incident</t>
  </si>
  <si>
    <t>2. Proposal to double MAU Revolving fund, i.e. 70,000 Euro</t>
  </si>
  <si>
    <t>Invite CPs to test international assistance (inc. MAU) in their national full-scale exercise and inform REMPEC</t>
  </si>
  <si>
    <t xml:space="preserve">Invite CPs to test international assistance (inc. MAU) in their national full-scale exercise and inform REMPEC
</t>
  </si>
  <si>
    <t>2031</t>
  </si>
  <si>
    <t xml:space="preserve">Reference to Mediterranean Guide on Cooperation and Mutual Assistance in Responding to Marine Pollution Incidents
</t>
  </si>
  <si>
    <t xml:space="preserve">Invite CPs to test international assistance (inc. MAU) in their national communication exercise
</t>
  </si>
  <si>
    <t>Invite CPs to test international assistance (inc. MAU) in their national communication exercise</t>
  </si>
  <si>
    <t xml:space="preserve">Reference to Mediterranean Guide on Cooperation and Mutual Assistance in Responding to Marine Pollution Incidents and the online version MedERSys of its operational parts
</t>
  </si>
  <si>
    <t xml:space="preserve">1.2.9.c) Common Emergency Communication System for the Mediterranean established and awareness raised on its use
</t>
  </si>
  <si>
    <t xml:space="preserve"> CPs to test the system
</t>
  </si>
  <si>
    <t>Subject to completion of new CECIS Marine Pollution</t>
  </si>
  <si>
    <t xml:space="preserve">Tabletop Exercise . Cyprus
</t>
  </si>
  <si>
    <t>prepare the scenario of the exercise, assist in its organisation and to draft 
observations/recommendations/lessons learned after the exercise.</t>
  </si>
  <si>
    <t>Within the Sub regional Marine Oil Pollution Contingency Plan between Cyprus, Greece, and Israel</t>
  </si>
  <si>
    <t xml:space="preserve">XELO 2022:
1. Training on Claims and Compensation (Tunisia)
2. Initial discussion REMPEC/ISU for training on oil and wreck removal
</t>
  </si>
  <si>
    <t>Activity implemented following the XELO 2022 incident</t>
  </si>
  <si>
    <t>1. 2022
2. 2024/2025</t>
  </si>
  <si>
    <t>1. cf. Action  No 1.2.1.a
2. 20,000</t>
  </si>
  <si>
    <t>1. Cost of ITOPF mission (including in-kind)
2. Regional event</t>
  </si>
  <si>
    <t>Two series of 14 national workshops on the assessment of management capabilities and national systems to respond to marine oil pollution than on the implementation of improvement plan of national system to respond to marine oil pollution, respectively,  will be organised in 2022-2023</t>
  </si>
  <si>
    <t>MTF - ITCP</t>
  </si>
  <si>
    <t>RETOS (Albania, Bosnia and Herzegovina, Croatia, Cyprus, Egypt, Greece, Israel, Lebanon, Libya, Montenegro, Slovenia, Syria and Turkey as well as Monaco)</t>
  </si>
  <si>
    <t>Complement similar activities for the Western Mediterranean countries, i.e. all Mediterranean countries would have benefited from this support</t>
  </si>
  <si>
    <t>Outcome from this assessment and improvement plan will provide guidance to plan further trainings and technical support till 2031. Budget to be divided equally by number of actions which this activity covers.</t>
  </si>
  <si>
    <t xml:space="preserve">1.2.9. c) Co-ordinated aerial surveillance operations for illicit ship pollution discharges promoted and supported.
</t>
  </si>
  <si>
    <t>MiTE</t>
  </si>
  <si>
    <t>Up to eleven (11) Mediterranean coastal States participate in OSCAR-MED 2023 organised within the framework of the RAMOGE Agreement</t>
  </si>
  <si>
    <t>RAMOGE experience on the organisation of OSCAR-MED will be shared and promoted with a view to replicating such operations in other parts of the Mediterranean region.</t>
  </si>
  <si>
    <t>The estimated budget consists in EUR 16,000 (Travel) and EUR 5,374 (Staff and Other Personnel Costs).</t>
  </si>
  <si>
    <t>Cf Activity No 1.3.4</t>
  </si>
  <si>
    <t xml:space="preserve">Upon request by CPs
-
</t>
  </si>
  <si>
    <t xml:space="preserve"> Lebanon and Libya do not have NCP adopted (support provided to B&amp;H and Lebanon)
</t>
  </si>
  <si>
    <t xml:space="preserve">1. AMT biannual meeting and workshop,
2. CGI biannual meeting and workshop
3.Adriatic SCP development
</t>
  </si>
  <si>
    <t>1. ITCP
2.MTF
3. MiTE</t>
  </si>
  <si>
    <t>1 &amp; 2: Binanual Meeting of the National Operational Authorities + workshop defined by countries
3. Development of a SCP for the Adriatic region</t>
  </si>
  <si>
    <t>Sub-regional workshops and meetings organised to assist in the administration, update, development and the implementation of Sub-regional contingency plans</t>
  </si>
  <si>
    <t xml:space="preserve">1. cf Action No 1.2.1.a
2. cf Action No 1.2.1.c
3. 46600
</t>
  </si>
  <si>
    <t xml:space="preserve">Amount to corresponds to XX,XXX Euro/2years/SCP
SCP Adriatic 46600 </t>
  </si>
  <si>
    <t xml:space="preserve">Cooperation  and synergies between Sub-regional Agreements operationalised and enhanced
</t>
  </si>
  <si>
    <t>1. MTF
2. MiTE</t>
  </si>
  <si>
    <t>Meeting with representative from the various SCP</t>
  </si>
  <si>
    <t>First Meeting to be held at AdriaspillConf 2023</t>
  </si>
  <si>
    <t>1. 1300
2.  8568</t>
  </si>
  <si>
    <t>Amount to correspond to XX,XXX Euro/2years</t>
  </si>
  <si>
    <t xml:space="preserve">Agenda item of Meeting ref Action 1.4.2
</t>
  </si>
  <si>
    <t>1. ITCP
2. MTF
3. MiTE</t>
  </si>
  <si>
    <t>This will be implemented by the Programme Officer (Prevention), in close cooperation with the Programme Officer (OPRC).</t>
  </si>
  <si>
    <t xml:space="preserve">1.2.9. b) Modalities of possible creation and operation of a regional ”Blue Fund”, including in terms of governance and financing, prepared
</t>
  </si>
  <si>
    <t xml:space="preserve">MTF </t>
  </si>
  <si>
    <t>To develop modalities of possible creation and operation, including in terms of governance and financing, of a regional “Blue Fund”.</t>
  </si>
  <si>
    <t>Subject to the review by the Fifth (and possibly Sixth) Meeting(s) of MENELAS (2022-2024), agreement by the Meeting of REMPEC Focal Points (2025), approval by the Meeting of MAP Focal Points (2025), adoption by COP 23 (2025) and actual set-up (2027)</t>
  </si>
  <si>
    <t>The estimated budget only covers consultancy services to develop the modalities over the biennium 2022-2023. It does not cover the actual creation and operation of the regional "Blue Fund”, if any.</t>
  </si>
  <si>
    <t>Take every oportunity to promote ratification</t>
  </si>
  <si>
    <t>Letters, decisions, meetings</t>
  </si>
  <si>
    <t>ALB, BIH, EGY, LIB, TUN not Party</t>
  </si>
  <si>
    <t xml:space="preserve"> Issues identified with country and assistance offered (for REMPEC PoW 2024-2025)
</t>
  </si>
  <si>
    <t>Annex I/II: BIH.
Annex III: BIH. 
Annex IV:  BIH, ISR.</t>
  </si>
  <si>
    <t>Any support REMPEC may be providing to CPs on the ratification, incorporation into national law, and implementation of international instruments, shall be without prejudice to the principles of Sovereignty of the States.</t>
  </si>
  <si>
    <t xml:space="preserve">The two-day workshop on ''Compensation for oil pollution damage''
XELO 2022:
1. Training on Claims and Compensation (Tunisa)
2. Initial discussion REMPEC/ISU for training on oil and wreck removal 
</t>
  </si>
  <si>
    <t>ITCP
MTF</t>
  </si>
  <si>
    <t>Workshop (ALG, MOR, TUN) in framework of SCP
Activity implemented following the XELO 2022 incident</t>
  </si>
  <si>
    <t>2022
1. 2022
2. 2024/2025</t>
  </si>
  <si>
    <t>1. cf Action No 1.2.1.a
2. cf Action No 1.3.3.b</t>
  </si>
  <si>
    <t>Explore with IOPC Funds additional workshop to increase level of ratification of Funds Conventions (REMPEC PoW 2024/2025)
1. Cost of ITOPF mission (including in-kind)
2. Regional event
Budget to be divided equally</t>
  </si>
  <si>
    <t>Subject to the review by the Fifth Meeting of MENELAS (2022-2023), and agreement by the Meeting of REMPEC Focal Points (2023)</t>
  </si>
  <si>
    <t xml:space="preserve">Budget covered by action 1.1.1a. </t>
  </si>
  <si>
    <t>Subject to the review by the Fifth Meeting of MENELAS (2022-2023), agreement by the Meeting of REMPEC Focal Points (2023), approval by the Meeting of MAP Focal Points (2023), and adoption by COP 22 (2023)</t>
  </si>
  <si>
    <t xml:space="preserve">Budget covered by action 1.4.4. </t>
  </si>
  <si>
    <t>1.1.1. a) Pilot actions implemented in at least 14 sites in 9 countries on fishing for litter, adopt a beach, waste management at ports measures through the application of common MAP Regional Adopted Guidelines.
1.1.1. f) Relevant activities of the IMO-FAO-Norway GloLitter Partnerships Project facilitated in the Mediterranean, as appropriate.</t>
  </si>
  <si>
    <t>1. “Marine Litter MED II” Project.
2. IMO-FAO-Norway GloLitter Partnerships Project.</t>
  </si>
  <si>
    <t>1. To implement pilots related to the enhanced management of marine litter from sea-based sources in ports and marinas in the Mediterranean.
2. To facilitate relevant activities of the IMO-FAO-Norway GloLitter Partnerships Project facilitated in the Mediterranean, as appropriate.</t>
  </si>
  <si>
    <t>1. Beneficiary countries: DZA, MAR, and TUN. These are follow-up activities to those implemented within the framework of the “Marine Litter-MED” Project (2016-2019).
2. Since REMPEC is not a Regional Coordination Organisation (RCO) for the  IMO-FAO-Norway GloLitter Partnerships Project, this will be implemented through the “Marine Litter MED II” Project, with the support of the GloLitter Project Coordination Unit.</t>
  </si>
  <si>
    <t>Activity implemented by MED POL, with REMPEC technical support; Budget covered by action 4.2.1.</t>
  </si>
  <si>
    <t xml:space="preserve">Two series of 14 national workshops on the assessment of management capabilities and national systems to respond to marine oil pollution than on the implementation of improvement plan of national system to respond to marine oil pollution, respectively,  will be organised in 2022-2023
</t>
  </si>
  <si>
    <t xml:space="preserve">Complement similar activities for the Western Mediterranean countries, i.e. all Mediterranean countries would have benefited from this support. 
</t>
  </si>
  <si>
    <t>cf. Action No 1.3.4</t>
  </si>
  <si>
    <t xml:space="preserve">Outcome from this assessment and improvement plan will provide guidance to plan further technical support till 2031.
</t>
  </si>
  <si>
    <t xml:space="preserve">1. AMT SCP
2. CGI SCP
3.Adriatic SCP development
</t>
  </si>
  <si>
    <t>Regular update of SCPs list  equipment available to parties to the agreement</t>
  </si>
  <si>
    <t>3. cf Action No 1.4.2.a</t>
  </si>
  <si>
    <t xml:space="preserve">Develop a common emergency communication system for the Mediterranean through the CECIS MP
</t>
  </si>
  <si>
    <t>Development within the framework of new CECIS MP, and integrate REMPEC FPM 2021 recommendations</t>
  </si>
  <si>
    <t>Subject to CECIS MP progress</t>
  </si>
  <si>
    <t xml:space="preserve">Condensates – Chemical Intervention Guide
</t>
  </si>
  <si>
    <t>EN-FR Publication of Guidelines</t>
  </si>
  <si>
    <t xml:space="preserve">5.1.3. Ensure Contracting Parties compliance with adopted monitoring and reporting under Barcelona Convention Protocols  </t>
  </si>
  <si>
    <t xml:space="preserve">b), c), d), e), f) maintained </t>
  </si>
  <si>
    <t>Continous</t>
  </si>
  <si>
    <t>MIDSIS-TROCS upgraded</t>
  </si>
  <si>
    <t xml:space="preserve">5.1.3. Ensure Contracting Parties compliance with adopted monitoring and reporting under Barcelona Convention Protocols  
</t>
  </si>
  <si>
    <t>b), c), d), e), f) maintained and upgraded</t>
  </si>
  <si>
    <t>CI19 standards and Connection established between MEDGIS-MAR and IMAP InfoSystem
Common Communication Emergency system establishned (CECIS)</t>
  </si>
  <si>
    <t>Capacity Building activities on low carbon shipping and clean ports</t>
  </si>
  <si>
    <t xml:space="preserve">GHG Med Project </t>
  </si>
  <si>
    <t xml:space="preserve">support the participating developing countries to build human and technical capacity to meet the enhanced energy efficiency requirements under the MARPOL Annex VI
through capacity-building activities lead by REMPEC
</t>
  </si>
  <si>
    <t>Project subject to successful resource mobilisation. Overall project budget estimated at 4,35 million referred in action 2.2.4. Split per action will be provided upon preparation of full project proposal.</t>
  </si>
  <si>
    <t>Refer to action 2.2.1.a</t>
  </si>
  <si>
    <t xml:space="preserve">Technology cooperation, innovation, exchange of best practices and preparation for demonstrations
</t>
  </si>
  <si>
    <t xml:space="preserve">Facilitates the contribution of the Mediterranean shipping and port industry to promote regional partnerships for technology innovation, deployment and cooperation towards energy efficient and clean shipping and ports, via creation of public-private, North-South and industry-shipping-port-hinterland transport alliances at regional levels. 
</t>
  </si>
  <si>
    <t xml:space="preserve">Promote exchanges of best practices and knowledge with international alliances. Conferences, workshops, awareness campaigns, publications and studies will frame this component and also enable the necessary preparations for future technology demonstrations in pioneer countries.
</t>
  </si>
  <si>
    <t xml:space="preserve">Resource mobilisation: Submission of GHG Med Project Proposal to potential donors
</t>
  </si>
  <si>
    <t xml:space="preserve"> (subject to approval and funding)</t>
  </si>
  <si>
    <t>Project proposal includes training, technical and legal support and investment</t>
  </si>
  <si>
    <t xml:space="preserve">Legal and Policy Reforms to support implementation of the Initial IMO GHG Strategy
</t>
  </si>
  <si>
    <t>GHG Med Project (subject to approval and funding)</t>
  </si>
  <si>
    <t xml:space="preserve">Improve and elevate the institutional capacity of countries for implementation and enforcement of IMO’ energy efficiency measures for ships (chapter 4 of MARPOL Annex VI). 
</t>
  </si>
  <si>
    <t xml:space="preserve">In line with the IMO Initial GHG Strategy, support countries in the development and implementing of National Action Plans (NAPs) as provided for in IMO resolution MEPC.327(75), through support provided by REMPEC
</t>
  </si>
  <si>
    <t xml:space="preserve">2.2.1.a Capacity Building activities on low carbon shipping and clean ports
2.2.2. Technology cooperation, innovation, exchange of best practices and preparation for demonstrations 
 2.5.1. Legal and Policy Reforms to support implementation of the Initial IMO GHG Strategy
</t>
  </si>
  <si>
    <t xml:space="preserve">2.2.1.a.support the participating developing countries to build human and technical capacity to meet the enhanced energy efficiency requirements under the MARPOL Annex VI
through capacity-building activities lead by REMPEC
2.2.2.Facilitates the contribution of the Mediterranean shipping and port industry to promote regional partnerships for technology innovation, deployment and cooperation towards energy efficient and clean shipping and ports, via creation of public-private, North-South and industry-shipping-port-hinterland transport alliances at regional levels. 
2.5.1. Improve and elevate the institutional capacity of countries for implementation and enforcement of IMO’ energy efficiency measures for ships (chapter 4 of MARPOL Annex VI). 
</t>
  </si>
  <si>
    <t>2.2.2. Promote exchanges of best practices and knowledge with international alliances. Conferences, workshops, awareness campaigns, publications and studies will frame this component and also enable the necessary preparations for future technology demonstrations in pioneer countries.
2.5.1. In line with the IMO Initial GHG Strategy, support countries in the development and implementing of National Action Plans (NAPs) as provided for in IMO resolution MEPC.327(75), through support provided by REMPEC</t>
  </si>
  <si>
    <t>1.1.1. a) Pilot actions implemented in at least 14 sites in 9 countries on fishing for litter, adopt a beach, waste management at ports measures through the application of common MAP Regional Adopted Guidelines.</t>
  </si>
  <si>
    <t>“Marine Litter MED II” Project</t>
  </si>
  <si>
    <t>To implement pilots related to the enhanced management of marine litter from sea-based sources in ports and marinas in the Mediterranean.</t>
  </si>
  <si>
    <t>Beneficiary countries: DZA, MAR, and TUN.
These are follow-up activities to those implemented within the framework of the “Marine Litter-MED” Project (2016-2019).</t>
  </si>
  <si>
    <t xml:space="preserve">2.2.1.a Capacity Building activities on low carbon shipping and clean ports
2.2.2. Technology cooperation, innovation, exchange of best practices and preparation for demonstrations </t>
  </si>
  <si>
    <t xml:space="preserve">2.2.1.a.support the participating developing countries to build human and technical capacity to meet the enhanced energy efficiency requirements under the MARPOL Annex VI
through capacity-building activities lead by REMPEC
2.2.2.Facilitates the contribution of the Mediterranean shipping and port industry to promote regional partnerships for technology innovation, deployment and cooperation towards energy efficient and clean shipping and ports, via creation of public-private, North-South and industry-shipping-port-hinterland transport alliances at regional levels. </t>
  </si>
  <si>
    <t xml:space="preserve">2.2.2. Technology cooperation, innovation, exchange of best practices and preparation for demonstrations </t>
  </si>
  <si>
    <t xml:space="preserve">2.2.2.Facilitates the contribution of the Mediterranean shipping and port industry to promote regional partnerships for technology innovation, deployment and cooperation towards energy efficient and clean shipping and ports, via creation of public-private, North-South and industry-shipping-port-hinterland transport alliances at regional levels. </t>
  </si>
  <si>
    <t>Refer to action 2.2.2</t>
  </si>
  <si>
    <t xml:space="preserve">1.4.2. b) Joint and coordinated proposal for the designation of the proposed Med SOx ECA submitted to the IMO, and discussions at MEPC facilitated, as appropriate.
1.4.2. c) Mediterranean Action Plan (MAP) nitrogen oxides (NOx) Emission Control Area (ECA)(s) Technical Committee of Experts established.
</t>
  </si>
  <si>
    <t xml:space="preserve">1. To participate to MEPC 78 and MEPC 79 as well as contribute to the discussions on the designation of the Med SOx ECA.
2. To establish and coordinate the work of the NOx ECA(s) Technical Committee of Experts.
</t>
  </si>
  <si>
    <t>1. 2022
2. 2023</t>
  </si>
  <si>
    <t>1. Budget relates to REMPEC attendance to MEPC 78 and MEPC 79.
2. Budget is nil since it involves in-house expertise only.</t>
  </si>
  <si>
    <t xml:space="preserve">1.4.2. a) Technical support and capacity building provided to CPs, which so request, to ratify and effectively implement MARPOL Annex VI.
1.4.2. d) Terms of Reference for a specific Technical and Feasibility Study to assess the relevant existing studies and gather further knowledge on the possible designation of the Mediterranean Sea, as a whole, as an Emission Control Area for nitrogen oxides, developed and validated by the NOx ECA(s) Technical Committee of Experts.
</t>
  </si>
  <si>
    <t>1. MTF, MiTE
2. MTF</t>
  </si>
  <si>
    <t>1. To provide continued assistance for the ratification and effective implementation of MARPOL Annex VI to the Contracting Parties to the Barcelona Convention, which have so requested, in line with the road map (Decision
IG.24/8).
2. To develop the necessary Terms of Reference and prepare a draft road map in relation to the the possible designation of the Mediterranean Sea, as a whole, as an Emission Control Area for nitrogen oxides (Med NOx ECA).</t>
  </si>
  <si>
    <t>1. Beneficiary countries: DZA, BIH, EGY, ISR, LBN, LBY.
2. Subject to the review by the NOx ECA(s) Technical Committee of Experts (2022-2023), agreement by the Meeting of REMPEC Focal Points (2023), approval by the Meeting of MAP Focal Points (2023), adoption by COP 23 (2023).</t>
  </si>
  <si>
    <t>1. Subject to the outcome of the assessment of needs, activities can be Technical, Training, Legal, and/or Investment (to be financed by other sources of funds).
2. Activity implemented through the NOx ECA(s) Technical Committee of Experts.</t>
  </si>
  <si>
    <t>1.4.2. a) Technical support and capacity building provided to CPs, which so request, to ratify and effectively implement MARPOL Annex VI.</t>
  </si>
  <si>
    <t>MTF, MiTE</t>
  </si>
  <si>
    <t>To provide continued assistance for the ratification and effective implementation of MARPOL Annex VI to the Contracting Parties to the Barcelona Convention, which have so requested, in line with the road map (Decision
IG.24/8).</t>
  </si>
  <si>
    <t>Beneficiary countries: DZA, BIH, EGY, ISR, LBN, LBY.</t>
  </si>
  <si>
    <t>Subject to the outcome of the assessment of needs, activities can be Technical, Training, Legal, and/or Investment (to be financed by other sources of funds); Budget covered by action 3.2.1.</t>
  </si>
  <si>
    <t>1.4.2. d) Terms of Reference for a specific Technical and Feasibility Study to assess the relevant existing studies and gather further knowledge on the possible designation of the Mediterranean Sea, as a whole, as an Emission Control Area for nitrogen oxides, developed and validated by the NOx ECA(s) Technical Committee of Experts.</t>
  </si>
  <si>
    <t>To develop the necessary Terms of Reference and prepare a draft road map in relation to the the possible designation of the Mediterranean Sea, as a whole, as an Emission Control Area for nitrogen oxides (Med NOx ECA)</t>
  </si>
  <si>
    <t>Subject to the review by the NOx ECA(s) Technical Committee of Experts (2022-2023), agreement by the Meeting of REMPEC Focal Points (2023), approval by the Meeting of MAP Focal Points (2023), adoption by COP 23 (2023)</t>
  </si>
  <si>
    <t>This activity will be implemented through the NOx ECA(s) Technical Committee of Experts; Budget covered by action 3.2.1</t>
  </si>
  <si>
    <t>Budget covered by action 1.4.4</t>
  </si>
  <si>
    <t xml:space="preserve">2.2.1.a Capacity Building activities on low carbon shipping and clean ports
 2.5.1. Legal and Policy Reforms to support implementation of the Initial IMO GHG Strategy
</t>
  </si>
  <si>
    <t xml:space="preserve">2.2.1.a.support the participating developing countries to build human and technical capacity to meet the enhanced energy efficiency requirements under the MARPOL Annex VI
through capacity-building activities lead by REMPEC
. 
2.5.1. Improve and elevate the institutional capacity of countries for implementation and enforcement of IMO’ energy efficiency measures for ships (chapter 4 of MARPOL Annex VI). 
</t>
  </si>
  <si>
    <t>2.5.1. In line with the IMO Initial GHG Strategy, support countries in the development and implementing of National Action Plans (NAPs) as provided for in IMO resolution MEPC.327(75), through support provided by REMPEC</t>
  </si>
  <si>
    <t xml:space="preserve">2.5.1. Legal and Policy Reforms to support implementation of the Initial IMO GHG Strategy
</t>
  </si>
  <si>
    <t xml:space="preserve">2.5.1. Improve and elevate the institutional capacity of countries for implementation and enforcement of IMO’ energy efficiency measures for ships (chapter 4 of MARPOL Annex VI). 
</t>
  </si>
  <si>
    <t>1. Activity implemented by MED POL, with REMPEC technical support.
2. There is no budget allocated to REMPEC under the IMO-FAO-Norway GloLitter Partnerships Project.</t>
  </si>
  <si>
    <t>This is linked to action 4.2.1.</t>
  </si>
  <si>
    <t>1.1.1. g) Synergies between the amended Regional Plan on Marine Litter Management in the Mediterranean and the IMO Action Plan/Strategy to address marine plastic litter from ships, as well as other relevant plans or initiatives, maintained and strengthened.</t>
  </si>
  <si>
    <t>1. MTF
2. “Marine Litter MED II” Project.
3. IMO-FAO-Norway GloLitter Partnerships Project.</t>
  </si>
  <si>
    <t>To liaise with UNEP/MAP and IMO on a regular basis to ensure synergies.</t>
  </si>
  <si>
    <t>This is achieved through action 4.2.1 (and all relevant actions related to marine plastic litter from ships).</t>
  </si>
  <si>
    <t>Budget is nil since it involves in-house expertise only.</t>
  </si>
  <si>
    <t>1.2.9.a) Fifth Meeting of
MENELAS organized and
recommendations
implemented through
technical support provided to
CPs, which so request.</t>
  </si>
  <si>
    <t>2.4.1. g) Share best practices and lessons learnt among Contracting Parties through regional meeting;
2.4.1. i) Targeted technical support provided to CPs for the ratification and implementation of the Ballast Water Management Convention as well as for the implementation of the 2011 Guidelines for the control and management of ships' biofouling to minimize the transfer of invasive aquatic species.</t>
  </si>
  <si>
    <t>1. MTF, ITCP
2. MiTE</t>
  </si>
  <si>
    <t>1. To organise a Regional Workshop on the Ballast Water Management (BWM) Convention and a Regional Expert Meeting on the harmonisation of procedures in the Mediterranean pursuant to the BWM Convention.          
2. To support the implementation of the 2011 Bioufouling Guidelines.</t>
  </si>
  <si>
    <t>1. This will be a back-to-back activity consisting in a Regional Workshop and a Regional Expert Meeting.
2. Based on the material developed by the GEF-UNDP-IMO GloFouling Partnerships Project, up to 3 countries (to be confirmed following a call for expressions of interest) will be provided with capacity building and technical support for the implementation of the 2011 Biofouling Guidelines.</t>
  </si>
  <si>
    <t>1. This activity will be Training (Regional Workshop) and Technical (Regional Expert Meeting); Budget is: EUR 16,000 (MTF); ITCP: $50,000 to be secured.
2. This activity will be Technical, Training, and Legal; Budget covered by action 5.2.1.d.</t>
  </si>
  <si>
    <t>Budget  covered by actions 5.2.1.a and 5.2.1.d.</t>
  </si>
  <si>
    <t>2.4.1. i) Targeted technical support provided to CPs for the ratification and implementation of the Ballast Water Management Convention as well as for the implementation of the 2011 Guidelines for the control and management of ships' biofouling to minimize the transfer of invasive aquatic species.</t>
  </si>
  <si>
    <t>To support the implementation of the 2011 Bioufouling Guidelines.</t>
  </si>
  <si>
    <t>Based on the material developed by the GEF-UNDP-IMO GloFouling Partnerships Project, up to 3 countries (to be confirmed following a call for expressions of interest) will be provided with capacity building and technical support for the implementation of the 2011 Biofouling Guidelines.</t>
  </si>
  <si>
    <t>This activity will be Technical, Training, and Legal.</t>
  </si>
  <si>
    <t>2.4.1. g) Share best practices and lessons learnt among Contracting Parties through regional meeting;
2.4.1. h) measures to control and manage ships' ballast water and biofouling to minimize the transfer of invasive aquatic species implemented; assistance provided and resources mobilization strategy developed; and
2.4.1. i) Targeted technical support provided to CPs for the ratification and implementation of the Ballast Water Management Convention as well as for the implementation of the 2011 Guidelines for the control and management of ships' biofouling to minimize the transfer of invasive aquatic species.</t>
  </si>
  <si>
    <t>1. MTF, ITCP
2. MTF, ITCP
3. MiTE</t>
  </si>
  <si>
    <t>1. To organise a Regional Workshop on the Ballast Water Management (BWM) Convention and a Regional Expert Meeting on the harmonisation of procedures in the Mediterranean pursuant to the BWM Convention.          
2. To develop a resource mobilisation strategy (and possibly a project proposal) to implement the Ballast Water Management Strategy for the Mediterranean Sea (2022-2027)/To support the harmonisation of procedures in the Mediterranean pursuant to the Ballast Water Management Convention.
3. To support the implementation of the 2011 Bioufouling Guidelines.</t>
  </si>
  <si>
    <t>1. This will be a back-to-back activity consisting in a Regional Workshop and a Regional Expert Meeting.
3. Based on the material developed by the GEF-UNDP-IMO GloFouling Partnerships Project, up to 3 countries (to be confirmed following a call for expressions of interest) will be provided with capacity building and technical support for the implementation of the 2011 Biofouling Guidelines.</t>
  </si>
  <si>
    <t>Budget  covered by actions 5.2.1.a, 5.2.1.d and 5.7.1.</t>
  </si>
  <si>
    <t>2.4.1. h) measures to control and manage ships' ballast water and biofouling to minimize the transfer of invasive aquatic species implemented; assistance provided and resources mobilization strategy developed</t>
  </si>
  <si>
    <t>1. MTF
2. MTF, ITCP</t>
  </si>
  <si>
    <t>1. To develop a resource mobilisation strategy (and possibly a project proposal) to implement the Ballast Water Management Strategy for the Mediterranean Sea (2022-2027).          
2. To support the harmonisation of procedures in the Mediterranean pursuant to the Ballast Water Management Convention.</t>
  </si>
  <si>
    <t>1. The resource mobilisation strategy (and possibly project proposal) may cover this particular action.
2. The work on the harmonisation of procedures in the Mediterranean may cover this particular action.</t>
  </si>
  <si>
    <t>1. Combined budget with 2. (MTF) is: EUR 42,000.
2. This activity is linked to action 5.2.1.a (Regional Expert Meeting); Combined budget with 1. (MTF) is: EUR 42,000. Additional budget is: $36,750 (ITCP).</t>
  </si>
  <si>
    <t>Budget  covered by action 5.7.1.</t>
  </si>
  <si>
    <t>Budget  covered by actions 5.2.1.d.</t>
  </si>
  <si>
    <t>2.4.1. g) Share best practices and lessons learnt among Contracting Parties through regional meeting</t>
  </si>
  <si>
    <t>MTF, ITCP</t>
  </si>
  <si>
    <t>To organise a Regional Workshop on the Ballast Water Management (BWM) Convention and a Regional Expert Meeting on the harmonisation of procedures in the Mediterranean pursuant to the BWM Convention.</t>
  </si>
  <si>
    <t>This will be a back-to-back activity consisting in a Regional Workshop and a Regional Expert Meeting.</t>
  </si>
  <si>
    <t>Budget  covered by action 5.2.1.a.</t>
  </si>
  <si>
    <t xml:space="preserve">First Coordination Meeting
</t>
  </si>
  <si>
    <t xml:space="preserve">MTF/MiTE
</t>
  </si>
  <si>
    <t>NAPs country, Stakeholder table</t>
  </si>
  <si>
    <t xml:space="preserve">Meeting 29Nov-1Dec will include the subject in its agenda. Budget covers NAPs preparation, consultants, Meeting organisations, incl logistics
</t>
  </si>
  <si>
    <t>First Coordination Meeting</t>
  </si>
  <si>
    <t xml:space="preserve">Meeting 29Nov-1Dec will include the subject in its agenda. Budget referred in 7.2.1 covers NAPs preparation, consultants, Meeting organisations, incl logistics
</t>
  </si>
  <si>
    <t>EMSA</t>
  </si>
  <si>
    <t>See similar actions above for instance 1.1</t>
  </si>
  <si>
    <t>It includes legal, buisness and technical part.</t>
  </si>
  <si>
    <t>EMSA has been tasked to work together with the EUREKA Consortium to facilitate the preparatory and implementation phase for modernising the IMO adopted Ship Reporting System (SRS) in the Adriatic Sea (ADRIREP). This project aims to introduce the state-of-the art technology and can be a good example for others to implement modern SRS in the future.</t>
  </si>
  <si>
    <t>EUREKA</t>
  </si>
  <si>
    <t>Technical Assistance of EMSA to EUREKA consortium</t>
  </si>
  <si>
    <t>See similar actions above</t>
  </si>
  <si>
    <t>In cooperation with EEA, EMSA has produced the first EMTER. Work will soon start on EMTER 2.0, expected to be published in 2024.</t>
  </si>
  <si>
    <t>EMTER</t>
  </si>
  <si>
    <t>See above similar actions</t>
  </si>
  <si>
    <t>Core task as concerns Member States and support to beneficiaries through IPA and SAFEMED</t>
  </si>
  <si>
    <t>Portfolio of services under VTIMIS Directive</t>
  </si>
  <si>
    <t>No activity type indicate by the scroll down menu allows to fill the previous cell</t>
  </si>
  <si>
    <t>Awareness on TIER is constantly increased through the routinary communication with beneficiaries, during the steering committees meetings</t>
  </si>
  <si>
    <t>SAFEMED and IPA II</t>
  </si>
  <si>
    <t>Communication and visibility</t>
  </si>
  <si>
    <t>Planned steps: Phase 3A - implementation of the “SSN simplified version”;  Phase 3B - implementation of the “SSN full-fledged version”</t>
  </si>
  <si>
    <t>TBA</t>
  </si>
  <si>
    <t>Participants - the SAFEMED/BCSEA/IPA beneficiaries  entitled and willing to participate</t>
  </si>
  <si>
    <t>2022 - 2024</t>
  </si>
  <si>
    <t>Exchanging between beneficiaries and Member States
at regional level:
a. Port call information( with limitations).
b. Incident Reports.
c. Ship MRS information.                        d. T-AIS (as from phase 2)</t>
  </si>
  <si>
    <t>T-AIS pilot project Phase 3: Involvement of SAFEMED/BCSEA beneficiary countries in SSN.</t>
  </si>
  <si>
    <t>Access to SSN by 3rd countries</t>
  </si>
  <si>
    <t>EMSA hosts and maintains THETIS-MED, and through SAFEMED supports the MED MOU on PSC.</t>
  </si>
  <si>
    <t>THETIS-MED</t>
  </si>
  <si>
    <t>Operational / Technical</t>
  </si>
  <si>
    <t xml:space="preserve">1. EMSA developed and maintains a wide portfolio of RPAS services that can support Member States in a broad range of environmental monitoring activities, from pollution detection to air emissions monitoring. </t>
  </si>
  <si>
    <t>1. RPAS services</t>
  </si>
  <si>
    <t>1. RPAS Services</t>
  </si>
  <si>
    <t>EMSA has developed a dedicated guidance (port side)</t>
  </si>
  <si>
    <t>OPSguidance</t>
  </si>
  <si>
    <t>OPS guidance</t>
  </si>
  <si>
    <t>EMSA has developed a dedicated guidance, used as benchmark by Member States.</t>
  </si>
  <si>
    <t>LNG bunkering guidance</t>
  </si>
  <si>
    <t>Support can be provided to prepare, undertake and follow-up IMSAS in the form of training, preparatory audits and technical support</t>
  </si>
  <si>
    <t>SAFEMED V, IPA II, Member States</t>
  </si>
  <si>
    <t>Support for IMSAS</t>
  </si>
  <si>
    <t>RPAS measurement of sulphur of sailing ships</t>
  </si>
  <si>
    <t>RPAS with sniffing capability</t>
  </si>
  <si>
    <t>Support available upon request by the beneficiaries</t>
  </si>
  <si>
    <t>SAFEMED V, BCSEA, IPA II</t>
  </si>
  <si>
    <t>TIER</t>
  </si>
  <si>
    <t>EMSA hosts THETIS-EU and supports the Commission and the Member States in the implementation and enforcement of the relevant Directive. A dedicated cycle of visits and the production and a Horizontal Analysis will provide an helicopter view on the status of the implementation of the Directive.</t>
  </si>
  <si>
    <t>THETIS-EU</t>
  </si>
  <si>
    <t>Guidance on use of batteries for propulsion</t>
  </si>
  <si>
    <t xml:space="preserve">Technical support can be provided upon request of the projects' beneficiaries to prepare and apply new and existing guidelines </t>
  </si>
  <si>
    <t>SAFEMED V and IPA II</t>
  </si>
  <si>
    <t>EMSA has developed a comprehensive guidance (port side) for OPS</t>
  </si>
  <si>
    <t>OPS Guidance (Port side)</t>
  </si>
  <si>
    <t>OPS Guidance (port side)</t>
  </si>
  <si>
    <t>EMSA supports MSs and the European Commission at technical level. Studies are currently ongoing, and guidance has for instance been developed for OPS. Best practises can be exported through SAFEMED V.</t>
  </si>
  <si>
    <t>Alternative Sources of Powers - guidance and studies</t>
  </si>
  <si>
    <t>Alternative sources of power</t>
  </si>
  <si>
    <t>Support provided to prepare, undertake and follow-up IMSAS in the form of training, preparatory audits and technical support</t>
  </si>
  <si>
    <t>SAFEMED V, IPA II Project, MSs</t>
  </si>
  <si>
    <t>Support to IMSAS</t>
  </si>
  <si>
    <t>EMSA can support upon request beneficiaries</t>
  </si>
  <si>
    <t>Support to ratification and implementation</t>
  </si>
  <si>
    <t>SAFEMED V</t>
  </si>
  <si>
    <t>Support can be activated by beneficiaries</t>
  </si>
  <si>
    <t>IPA II, BCSEA, SAFEMED V</t>
  </si>
  <si>
    <t>EMSA hosts THETIS-MRV</t>
  </si>
  <si>
    <t>THETIS-MRV</t>
  </si>
  <si>
    <t>EMSA supports the European Commission and the EU Member States in the implementation of the EU MRV Regulation and the production of the annual report.</t>
  </si>
  <si>
    <t>Implementation EU MRV Regulation</t>
  </si>
  <si>
    <t>Support to European Commission and EU MSs</t>
  </si>
  <si>
    <t>Provision of curricula for Flag and Port State inspectors developed within the context of EMSA academy</t>
  </si>
  <si>
    <t>Professional development</t>
  </si>
  <si>
    <t>Tailor-made technical assistance can provided upon request from the projects' beneficiaries</t>
  </si>
  <si>
    <t>SafeSeaNet has been set up as a network for maritime data exchange, linking together maritime authorities from across Europe. It enables European Union Member States, Norway, and Iceland, to provide and receive information on ships, ship movements, and hazardous cargoes. Waste notifications and Waste Receipts are exchanged between EU ports and available in SSN.</t>
  </si>
  <si>
    <t>SafeSeaNet</t>
  </si>
  <si>
    <t>Provision of SSN services</t>
  </si>
  <si>
    <t>Draft procedures submitted to beneficiaries for adoption</t>
  </si>
  <si>
    <t xml:space="preserve"> The Mediterranean AIS Regional Server (MARES) is operated and maintained by the Italian Coast Guard (ICG).</t>
  </si>
  <si>
    <t>As per EMSA/ICG SLA</t>
  </si>
  <si>
    <t>Participats in MARES RS: IT, SI, HR, GR, BG, RO, CY, MT, ES, FR, PT, UK (Gibraltar).  ME is participating in the MAREΣ virtual sub-regional server. MA, TN, JO, UA and GE is participating  on a bases of pilot projects executed by EMSA.</t>
  </si>
  <si>
    <t>SafeSeaNet is a vessel traffic monitoring and information system, established in order to enhancemaritime safety, port and maritime security, marine environment protection and efficiency of maritime traffic and maritime transport. It has been set up as a network for maritime data exchange, linking together maritime authorities from across Europe. It enables European Union Member States, Norway, and Iceland, to provide and receive information on ships, ship movements, and hazardous cargoes. 
AIS Regional Servers (RSs) constitute an integral part of the current SafeSeaNet architecture. The RS services may include data collection, storage, backup and re-distribution, as well as monitoring the availability and quality of the data.</t>
  </si>
  <si>
    <t>Provision of SSN services
T-AIS exchange through the Mediterranean AIS regional server (MAREΣ) and its connection to SSN</t>
  </si>
  <si>
    <t xml:space="preserve">1. Meetings regularly organised with staff from the beneficiaries to train them on the use and features of CSN services and IMS
2. Organize several annual trainings and the CleanSeaNet annual user group meeting with Member States, improving the user uptake and maximing the benefit providing by the CleanSeaNet service. 
3. Organize awareness sessions of RPAS Member States users and organize the RPAS annual user group meeting with Member States, to foster the usage of RPAS systems and exchange experiences </t>
  </si>
  <si>
    <t>1. SAFEMED V and IPA II
2. CleanSeaNet
3. RPAS Services</t>
  </si>
  <si>
    <t>1. CleanSeaNet for ENP
2. CleanSEaNet for Member States
3. RPAS Services</t>
  </si>
  <si>
    <t>Member States, Participating beneficiaries Israel, Jordan, Lebanon, Libya, Morocco, Tunisia, Turkey, Albania, Montenegro</t>
  </si>
  <si>
    <t>CleanSeaNet for Member States, SAFEMED V, BCSEA and IPA II implemented by EMSA</t>
  </si>
  <si>
    <t>Provision of CSN services</t>
  </si>
  <si>
    <t>Awareness seminar on the available EMSA pollution response services</t>
  </si>
  <si>
    <t>Awareness on OPR</t>
  </si>
  <si>
    <t>EMSA is mandated to provide additional response resources to MS, also avaialble to third countries sharing a regional sea basin with the EU</t>
  </si>
  <si>
    <t>oil pollution response services</t>
  </si>
  <si>
    <t>Studies on PRFs aiming to define the adequacy of PRFs versus international and EU relevant legislation. Eventually development or update of the port waste plans</t>
  </si>
  <si>
    <t>Studies on PRFs</t>
  </si>
  <si>
    <t>Provision of THETIS-Med, RuleCheck, Courses and curricula within the cntext of EMSA Academy</t>
  </si>
  <si>
    <t>Provision of tools, training, capacity building</t>
  </si>
  <si>
    <t>Provision of support to undertake IMSAS in the form of prepartaory training sessions, preparatory auditis, support to prepare and follow-up CAPs</t>
  </si>
  <si>
    <t>SAFEMED V and IPA II and EU MSs</t>
  </si>
  <si>
    <t>Follow-up capacity of each beneficiary to be taken into account</t>
  </si>
  <si>
    <t>Support to the projects' beneficiaries to ratify, transpose and implement the international maritime legislation</t>
  </si>
  <si>
    <t>Consultancy and exterbnal support can be provided upon request to draft and/or update beneficiaries' NCPs</t>
  </si>
  <si>
    <t>SAFEMED V and IPA II implemented by EMSA</t>
  </si>
  <si>
    <t>Technical support</t>
  </si>
  <si>
    <t>EMSA hosts and maintains THETIS-MED</t>
  </si>
  <si>
    <t>IPA II beneficiaries supposed to participate in MARES from 2023</t>
  </si>
  <si>
    <t>Following projects' beneficiaries exchanging T-AIS information through MARES. SAFEMED V Jordan, Morocco, Tunisia - BCSEA Georgia, Ukraine - IPA II Albania, Bosnia Herzegovina, Montenegro</t>
  </si>
  <si>
    <t>SAFEMED V, BCSEA and IPA II implemented by EMSA</t>
  </si>
  <si>
    <t>1. SAFEMED and IPA projects
2. CleanSaaNet for Member States
3. RPAS Services</t>
  </si>
  <si>
    <t>Pollution response exercise with participation of an EMSA vessel and experts from the project's beneficiaries</t>
  </si>
  <si>
    <t>Antipollution response exercise</t>
  </si>
  <si>
    <t>continuous</t>
  </si>
  <si>
    <t>table top exercise based on particular scenario</t>
  </si>
  <si>
    <t>Places of Refuge</t>
  </si>
  <si>
    <t>In addition EMSA participates with its assets and services in Exercises organised by the Contracting Parties, following their request.</t>
  </si>
  <si>
    <t>At least one Pollution Response exercise organised within the context of the project with the participation of an EMSA vessel. Where possible with the participation of national means too</t>
  </si>
  <si>
    <t>Elearning courses made available to staff from the projects' beneficaries through the EMSA platform</t>
  </si>
  <si>
    <t>1. Provision of RPAS services to Member States for Multipurpose maritime surveillance and emissions monitoring
2. Provision of RPAS services on-board of EMSA OPRVs</t>
  </si>
  <si>
    <t>EMSA RPAS services</t>
  </si>
  <si>
    <t xml:space="preserve">1. Provision of CSN images to (SAFEMED V) Israel, Jordan, Lebanon, Libya, Morocco, Tunisia - (BCSEA) Turkey - (IPA II) Albania and Montenegro. With CSN images also SAT-AIS information is provided
2. Provision of CleanSeaNet Earth Observation products (including SAR and optical satellite images, oil spill detection, polluter identification and ancillary information) to Member States in support to illegal discharges and accidental spills. </t>
  </si>
  <si>
    <t>1. SAFEMED V, BCSEA and IPA II implemented by EMSA
2. CleanSeaNet for Member States</t>
  </si>
  <si>
    <t>CleanSEaNet</t>
  </si>
  <si>
    <t>Under the BCSEA project same services can be offered to Turkey</t>
  </si>
  <si>
    <t xml:space="preserve">Support to ratify, transpose and Implement international maritime conventions and EU maritime legislation </t>
  </si>
  <si>
    <t>SAFEMED V, BCSEA and IPA II</t>
  </si>
  <si>
    <t>regular activities</t>
  </si>
  <si>
    <t>1. exchange of best practices between EU MS
2a. Training for Member States on the use of CleanSeaNet
2b. CleanSeaNet User Group (enabling exchanges of best practices and results between Member States)</t>
  </si>
  <si>
    <t>1. CTG MPPR
2. CleanSeaNet</t>
  </si>
  <si>
    <t>the use of surveillance systems for marine pollution detection and assessment</t>
  </si>
  <si>
    <t xml:space="preserve">Capacity building and technical assistance are the main objective of the EMSA implemented projects. Topics and number of sessions will be defined according needs of beneficiaries </t>
  </si>
  <si>
    <t>1. Provision of trainings
2. Provision of basic and advanced training and awareness sessions for CleanSeaNet Member States</t>
  </si>
  <si>
    <t>1. SAFEMED V and IPA II
2. CleanSeaNet</t>
  </si>
  <si>
    <t>1. SAFEMED and IPA Projects
2. CleanSeaNet Service</t>
  </si>
  <si>
    <t>1. Training
2. User Group</t>
  </si>
  <si>
    <t>2. EMSA (for CleanSeaNet User Group)</t>
  </si>
  <si>
    <t>1 . Provision of trainings
2.  Organization of the CleanSeaNet User Group (Member States)</t>
  </si>
  <si>
    <t>1. SAFEMED V and IPA II
2 . CleanSeaNet User Group</t>
  </si>
  <si>
    <t>In addition, REMPEC is invited to all Steering Committees within SAFEMED. EMSA attends as relevant UFM Meetings.</t>
  </si>
  <si>
    <t>annual meeting</t>
  </si>
  <si>
    <t>On a regular basis EMSA  organises meetings with the Secretariats. Focus is not only on pollution preparedness and response, but also pollution prevention.</t>
  </si>
  <si>
    <t>Meeting with the Secretariats of all relevant Conventions</t>
  </si>
  <si>
    <t>Annual Inter-Secretariat meetings</t>
  </si>
  <si>
    <t>Last workshop held in June 2022</t>
  </si>
  <si>
    <t>On a regular basis EMSA and DG ECHO organise workshops that put together experts from the civil protection context and experts from the maritime side</t>
  </si>
  <si>
    <t xml:space="preserve">Joint EMSA-ECHO workshops </t>
  </si>
  <si>
    <t>CTG PPR</t>
  </si>
  <si>
    <t>The MAREΣ EWG consists of representatives of the competent authorities of the States participating in MAREΣ RS
Albania and Bosnia-Herzegovina are supposed to be connected to MARES during 2023</t>
  </si>
  <si>
    <t>Except where it is specifically agreed otherwise, each MARES participant shall cover the cost of any expenditure it incurs relating to participation in the MARES EWG.</t>
  </si>
  <si>
    <t>The States participating in MAREΣ EWG are: IT, SI, HR, GR, BG, RO, CY, MT, ES, FR, PT, UK (Gibraltar). AL, ME, MA, TN, JO, UA and GE participate in the EWG as observers.</t>
  </si>
  <si>
    <t xml:space="preserve">To develop, maintain and coordinate the operational, administrative and technical solutions for further improvement of the Mediterranean AIS system with the aim to extend cooperation in the area of VTMIS Directive.
The following countries are sharing T-AIS information (SAFEMED V) Jordan, Morocco, Tunisia - IPA II (Albania, Bosnia-Herzegovina)  </t>
  </si>
  <si>
    <t>T-AIS exchange
Pilot project on sharing AIS data</t>
  </si>
  <si>
    <t>emergency activation for delivery of satellite imagery in case of pollution</t>
  </si>
  <si>
    <t>CSN</t>
  </si>
  <si>
    <t>Activation of contingency plan</t>
  </si>
  <si>
    <t>This relates to FAO GFCM: OceanCare has signed an MoU with FAO GFCM - covering issues such as IUU fishing, plastic pollution, underwater noise, bycatch,  mitigation of the negative effects of climate change and the expansion of non-indigenous species and governance issues.</t>
  </si>
  <si>
    <t>Share data on ALDFG, including ghost FADS through the network of associated partner organisations, including recommendations on preventative measures</t>
  </si>
  <si>
    <t>EUR 7,500 as annual contribution to partner organisations that work on ALDFG and the retrieval of ghost FADs</t>
  </si>
  <si>
    <t>OceanCare is a part of UNEP GPML since 2014 and participates in respective consultations, reports on activities and follows the development of a global database on marine litter</t>
  </si>
  <si>
    <t>Active participation as part of UNEP GPML</t>
  </si>
  <si>
    <t>time spent by 1 plastic policy expert</t>
  </si>
  <si>
    <t xml:space="preserve">OceanCare, holding UN ECOSOC Status, actively   participates at the UNCLOS ICP meetings. </t>
  </si>
  <si>
    <t>Active participation at UNCLOS ICP Meetings</t>
  </si>
  <si>
    <t>time spent by  plastic policy experts plus travel costs</t>
  </si>
  <si>
    <t>At the UNCLOS ICP Meeting in 2016, we requested that the four most toxic chemicals to produce plastics are classified and phased out (please see our statement delivered: https://oceancare.org/wp-content/uploads/2016/07/Statement_Plastik_UN_EN_2016.pdf)</t>
  </si>
  <si>
    <t>OceanCare has been accredited to UNEA in 2015 and is a member of the "Science &amp; Technology" Major Group. We actively engage in the Plastic Treaty Process since 2018 towards a drastic reduction of plastic pollution at its source and along the entire life cycle and strive for a global legally binding plastic treaty within UNEA process.</t>
  </si>
  <si>
    <t>Active participation since UNEA3 and active engagement in the Ad-Hoc Open Ended Expert Group meetings in relation to the Plastic Treaty Process</t>
  </si>
  <si>
    <t>Participation at UNEA3, UNEA 4., UNEA5.1 &amp; 5.2., as well as the Ad-Hoc Open-Ended Expert Group meetings in Geneva, Nairobi, and the OEWG meeting in 2022 in Dakar. We will follow all INC meetings, as well as the implementation and monitoring phase of the plastic treaty after 2024.</t>
  </si>
  <si>
    <t>time spent by 1 plastic policy expert plus travel costs</t>
  </si>
  <si>
    <t>As above - OceanCare as participated in all relevant Ad-Hoc Expert Group meetings in Geneva, Nairobi, Dakar etc. since 2018</t>
  </si>
  <si>
    <t>see under UNEA</t>
  </si>
  <si>
    <t>as above under UNEA</t>
  </si>
  <si>
    <t>Monitoring of progress made on Descriptor 10</t>
  </si>
  <si>
    <t>OceanCare is monitoring the progress made
within discussions on MSFD Descriptor 10  on
Marine Litter and has provided input as to the
progress made during the Review consultation in
2021. Our main concern overall remains the issue
of implementation of existing obligations.</t>
  </si>
  <si>
    <t xml:space="preserve">In this respect, OceanCare is also supporting and collaborating with Seas at Risk in their efforts to ensure that EU Member States implement the EU Single-Use Plastics Directive (SUP). </t>
  </si>
  <si>
    <t>Joint Workshop between OceanCare and UNEP/MAP on marine litter at the occassion of the FishForum in 2018 at the FAO in Rome as excellent example of bridging the science-policy gap which could be replicated in other fora.</t>
  </si>
  <si>
    <t>Joint Workshop "Prevention and reduction of marine litter from fisheries and aquaculture and related impacts on marine ecosystems"</t>
  </si>
  <si>
    <t>Workshop “Prevention and reduction of marine litter from fisheries and aquaculture and related impacts on marine ecosystems”, co-organized  by UNEP/MAP and Ocean Care in the framework of the GFCM Fish Forum 2018 (Rome, Italy, 10 December 2018)</t>
  </si>
  <si>
    <t>various</t>
  </si>
  <si>
    <t>Giving lectures in schools and companies (including Sunsail and The Moorings) both domestically and abroad. Information materials such as flyers, factsheets and infographics are designed to assist them  in integrating the plastic issue into their outreach.
In respect to education and beach cleanings, OceanCare also supports iSEA Greece in their zeroplastic campaign, which also targets dive schools, apart from the larger public.
OceanCare co-funded the SavetheMed initiative in the Balearic Island to raise awareness in schools by education, science-based action, innovative solutions and involve the local community to reduce plastic waste. SavetheMed engages in the hospitality sector on the Balearic Islands to reduce SUP.</t>
  </si>
  <si>
    <t>EUR10,000 per annum (for iSEA Greece and Save the Med Foundation)</t>
  </si>
  <si>
    <t>Frey, S.: Marine Plastic Pollution – Sources, Sinks and Impacts on Cetaceans, in: Nunny, L. (ed.): Under pressure: the need to protect whales and dolphins in European waters. A report by OceanCare, 2021.</t>
  </si>
  <si>
    <t>OceanCare is a member of GGGI. Encouragement of Spain become a member of GGGI</t>
  </si>
  <si>
    <t>Advocacy work to encourage Spain to become a member of GGGI</t>
  </si>
  <si>
    <t>close collaboration with GGGI</t>
  </si>
  <si>
    <t>advocacy work of 1 policy expert</t>
  </si>
  <si>
    <t>Elaboration of a Strategy for Green Mediterranean Ports</t>
  </si>
  <si>
    <t>OceanCare developped and submitted to Mediterranean ports a proposal of Strategy for a network of Green Mediterranean Ports</t>
  </si>
  <si>
    <t>Time spent by the expert</t>
  </si>
  <si>
    <t>Submission of proposals to include underwater noise from ships in a revised Strategy and Action Plan</t>
  </si>
  <si>
    <t>OceanCare could submit a proposal of revision of the Strategy to include underwater noise, along the lines of the proposals we made during the preparation of the Strategy. We could propose to add to the Action Plan "Contribute to the ongoing work of the IMO to review the Guidelines on underwater noise from ships and to develop a proposal for a programme of action” and “Foster uptaking of the revised IMO guidelines on underwater noise from ships”</t>
  </si>
  <si>
    <t>QuietWater Report</t>
  </si>
  <si>
    <t>OceanCare produced a report to support the Spanish Ministry in charge of Ecological Transition (MITECO) in the development of the conservation management plan for the Mediteranean Cetacean Migration Corridor (a SPAMI), with a particular focus on measures to avoid, reduce and mitigate activities that generate underwater noise.</t>
  </si>
  <si>
    <t>Time spent by the experts + publication and dissemination costs</t>
  </si>
  <si>
    <t>https://www.oceancare.org/wp-content/uploads/2021/11/Quiet-Waters-en-web.pdf</t>
  </si>
  <si>
    <t>EUROWA-2</t>
  </si>
  <si>
    <t>Providing first responder courses for wildlife response</t>
  </si>
  <si>
    <t>Providing standard training following POSOW guidelines</t>
  </si>
  <si>
    <t>EUROWA Secretariat and Network Members, certified trainers</t>
  </si>
  <si>
    <t>See also EUROWA model wildlife courses</t>
  </si>
  <si>
    <t>budget via requesting party</t>
  </si>
  <si>
    <t>These courses can be requested as part of wildlife planning and preparedness activities</t>
  </si>
  <si>
    <t>Provide wildlife courses with formal EUROWA accreditation</t>
  </si>
  <si>
    <t>EUROWA-2 EUROWA Network activities</t>
  </si>
  <si>
    <t>Providing standard training following EUROWA accreditation strategy</t>
  </si>
  <si>
    <t>Courses will be provided by accredited EUROWA trainers</t>
  </si>
  <si>
    <t>Budget via requesting party</t>
  </si>
  <si>
    <t>Standard EUROWA Training courses can be provided on demand.</t>
  </si>
  <si>
    <t>Desk top study, develop table top environment, organise a work shop, developing guidelines and recommendations</t>
  </si>
  <si>
    <t>IRA-MAR</t>
  </si>
  <si>
    <t>Work stream 6: Pioneering holistic / integrated management
of 
marine emergencies 
involving 
at-sea response and on-shore response</t>
  </si>
  <si>
    <t>Sea Alarm</t>
  </si>
  <si>
    <t>EU funded project</t>
  </si>
  <si>
    <t>100K</t>
  </si>
  <si>
    <t>Other work streams are developing deliveries for other actions in the strategy</t>
  </si>
  <si>
    <t>External training</t>
  </si>
  <si>
    <t>Training and Education core service</t>
  </si>
  <si>
    <t>Training provided on OSR and related matters</t>
  </si>
  <si>
    <t>Technical Team Manager</t>
  </si>
  <si>
    <t>Permanent activity</t>
  </si>
  <si>
    <t>ITOPF provides training assistance to multiple stakeholders on request</t>
  </si>
  <si>
    <t>Travel and accommodation expenses. No professional fees</t>
  </si>
  <si>
    <t>Dependant on staff availability, other region/stakeholders requests of assistance</t>
  </si>
  <si>
    <t>Training provided on HNS and related matters</t>
  </si>
  <si>
    <t>Training and Education core service. Knowledge gathering - Waste WG organising visits of facilities for own staff</t>
  </si>
  <si>
    <t>Training provided on waste management and related matters</t>
  </si>
  <si>
    <t>Training provided on surveillance and monitoring</t>
  </si>
  <si>
    <t>External training and Contingency Planning</t>
  </si>
  <si>
    <t>Training and Education / Advisory core services</t>
  </si>
  <si>
    <t>Tabletop exercise - VR aerial surveillance</t>
  </si>
  <si>
    <t>On request activity</t>
  </si>
  <si>
    <t xml:space="preserve">Review of Contingency Planning / RETOS </t>
  </si>
  <si>
    <t>Advisory and Contingency Planning core service</t>
  </si>
  <si>
    <t>Assistance with Contingency Planning (not drafting of NCP)</t>
  </si>
  <si>
    <t>ITOPF provides training assistance to stakeholders on request</t>
  </si>
  <si>
    <t>Travel and accommodation expenses. Generally no professional fees / depending of level of involvement</t>
  </si>
  <si>
    <t>R&amp;D Award coordination</t>
  </si>
  <si>
    <t>ITOPF R&amp;D Award</t>
  </si>
  <si>
    <t>Annual award for a research project</t>
  </si>
  <si>
    <t>Senior Technical Adviser</t>
  </si>
  <si>
    <t>Yearly</t>
  </si>
  <si>
    <t>Funding and coordination by ITOPF</t>
  </si>
  <si>
    <t>https://www.itopf.org/in-action/r-d-award/</t>
  </si>
  <si>
    <r>
      <rPr>
        <sz val="12"/>
        <color rgb="FF000000"/>
        <rFont val="Calibri"/>
        <family val="2"/>
      </rPr>
      <t xml:space="preserve">● </t>
    </r>
    <r>
      <rPr>
        <sz val="12"/>
        <color rgb="FF000000"/>
        <rFont val="Calibri Light"/>
        <family val="2"/>
      </rPr>
      <t>MENELAS</t>
    </r>
  </si>
  <si>
    <t>Department of Policies and Strategies for the Development of Infrastructure, Networks and Transport - Ministry of Infrastructure and Energy</t>
  </si>
  <si>
    <t xml:space="preserve">Through the national OPRC focal point, Albania as a CP of Barcelona Convention shall designate the appropriate national entities and/or officials as contact points for each issue dealt by the MTWG. </t>
  </si>
  <si>
    <t>General Maritime Directorate (GMD)</t>
  </si>
  <si>
    <t>General Maritime Directorate (GMD) has access and is the user</t>
  </si>
  <si>
    <t>CleanSeaNet Training for Albania and Montenegro, Lisbon / March 2021</t>
  </si>
  <si>
    <t xml:space="preserve">National AIS is in the final process of installation. </t>
  </si>
  <si>
    <t>After AIS is in place, to train the designated officials;</t>
  </si>
  <si>
    <t xml:space="preserve">Ministry of Infrastructure and Energy (MIE) </t>
  </si>
  <si>
    <t>Participation in 4th Adriatic Conference on spill prevention / ADRIASPILLCON 2019, Croatia, June 2019, getting involved with the regional exchange of experience with partner and specialized institutions, communicating (OSRP) management experiences, important tools for networking, transfer of lessons, interchange and training for the stakeholder groups of the maritime OSRP sector;</t>
  </si>
  <si>
    <t xml:space="preserve">Peer Review Meeting in Marseille, France, on 19 and 20 November 2019, attended by the three countries volunteering for the second exercise, SIMPEER 2018-2019, namely Albania, Egypt and Tunisia; MEDEXPOL regional workshop, online on 27-28 October 2020, organized by REMPEC every two years as regional
forum where experts from the region exchange best practices and provide recommendation for further
consideration by Contracting Parties to the Barcelona Convention;  
</t>
  </si>
  <si>
    <t>Interinstitutional Maritime Organizational Centre (IMOC)</t>
  </si>
  <si>
    <t>In the framework of the project financed by the Croatian Government regarding the preparedness and response to marine pollution, on 27 May 2020, it organised the online training “For preparedness and response to marine pollution from oil and HNS in the Republic of Albania”</t>
  </si>
  <si>
    <t>A national training course for government administrators and senior managers, on preparedness for and response to marine oil spills, was held in Durres, Albania, between 13 and 15 December 2006. The national training course was based on the Level 3 IMO OPRC model training
course.</t>
  </si>
  <si>
    <t xml:space="preserve">On 27 May 2020, it organised the online training “For preparedness and response to marine pollution from oil and HNS in the Republic of Albania”. The participants in this training were from GMD, IMOC, Prefectures, and all maritime ports in the Republic of Albania.
</t>
  </si>
  <si>
    <t>In the framework of the project financed by the Croatian Government regarding the preparedness and response to marine pollution;</t>
  </si>
  <si>
    <t xml:space="preserve">It should be considered with actions: 1.12.3k; 1.12.3l; 1.12.3m; 1.12.3n; 1.12.3o; 1.12.3p; </t>
  </si>
  <si>
    <t>To be considered with action  1.12.3d</t>
  </si>
  <si>
    <t>IMOC has access to Clean Sea Net and is the user</t>
  </si>
  <si>
    <t>In-country training, on Flag State Implementation and Port State Control”, on 7th – 9th November 2017.</t>
  </si>
  <si>
    <t>On line training on : Port State Control and MoUs Concentrated Inspection Campaigns (CIC) - IMO Model Course 3.09; Dated 26/10/2020</t>
  </si>
  <si>
    <t>Training to address the issues;</t>
  </si>
  <si>
    <t>Sub-regional Workshop on the assessment of the level of oil spill response planning and readiness management for the Central and Eastern Mediterranean, Online 7-8 September 2021; Session 2  on 21 September 2021;</t>
  </si>
  <si>
    <t>Training or national workshops to bring together all actors contributing or have an  impact on the entire logistic chain of the maritime transport issues.</t>
  </si>
  <si>
    <t>It's neccessary to bring together all actors contributing in the entire logistic chain of the maritime transport issues.</t>
  </si>
  <si>
    <t>Multisectoral training every year, organized by IMOC</t>
  </si>
  <si>
    <t xml:space="preserve">The Ministry of Infrastructure and Energy, through the assistance of EMSA, transposed the  DIRECTIVE 2009/18/EC and published the Order of MIE No. 52, dated 17.3.2022: On the approval of the Regulation "On methodology, rules, procedures, standards and practices, for carrying out  investigation of accidents in the maritime transport sector";    </t>
  </si>
  <si>
    <t xml:space="preserve">Through the assistance of EMSA, Directive (EU) 2019/883  is in the process of approval by national legislation;   
</t>
  </si>
  <si>
    <t>CleanSeaNet Online Training for Duty Officers from Albania and Montenegro</t>
  </si>
  <si>
    <t xml:space="preserve">To assisst with its services offered in a full - scale national excercise </t>
  </si>
  <si>
    <t xml:space="preserve">EMSA to assisst with its services offered in a full - scale national excercise </t>
  </si>
  <si>
    <t>Albanina Coast Guard, on March 2022</t>
  </si>
  <si>
    <t>IMOC organises every year training on  communication exercise, where the Notification Scheme is updatd periodically, reflecting the stakeholders involved and their contact points.</t>
  </si>
  <si>
    <t>In cooperation with UNDP Albania, ATRAC organized Table-top exercise in Durres on January 22, 2019. The exercise is organized within the framework of Project “Management of Marine and Coastline Pollution for increased Safety at Sea and Ports in the line with EU maritime Law and Policy” which is financed by the Croatian government as the bilateral Project between republic of Albania and Republic of Croatia.</t>
  </si>
  <si>
    <t>It has been foreseen the next national top - table exercise to be  organized by IMOC in October, 2022;</t>
  </si>
  <si>
    <t xml:space="preserve">On 28 – 30 April 2020, Albania had planned to host the Sub-Regional Workshop on the use of the RETOS™ for the assessment of the level of oil spill response planning and readiness management with 40 participants. This activity was postponed due to the situation with Covid-19. </t>
  </si>
  <si>
    <t>Need to make a full-scale sub-region exercise with the scenario related to oil polution at sea. Scenario to be defined with REMPEC;</t>
  </si>
  <si>
    <t>Need to make a table - top sub-region exercise with the scenario related to oil polution at sea. Scenario to be defined with REMPEC</t>
  </si>
  <si>
    <t>Development and implementation of process is in place, in accordance with the Training Program, developed by the Analysis, Planning and Training Sector at IMOC.</t>
  </si>
  <si>
    <t xml:space="preserve">Training Programmes organized by IMOC every year  where the lessons identified during real accidents have been reflected and put on the focus for the stakeholders involved; </t>
  </si>
  <si>
    <t>National top - table national exercises, organized by IMOC;</t>
  </si>
  <si>
    <t>Need to be provided with Aerial Surveillance Means</t>
  </si>
  <si>
    <t>Technical Assisstance to address the issues;</t>
  </si>
  <si>
    <t>To be considered with action 1.3.5a</t>
  </si>
  <si>
    <t xml:space="preserve">Port State Control through the circulars by IMO and EMSA </t>
  </si>
  <si>
    <t>Albania is not a party of Med MoU, so it does not have access to THETIS-MeD database.</t>
  </si>
  <si>
    <t xml:space="preserve">Asistance to initiate the procedures to became a party of Med MoU, in order to have access to THETIS-MeD database </t>
  </si>
  <si>
    <t>National Contigency Plan NCP - approved by DCM no. 480, datd 25.07.2012</t>
  </si>
  <si>
    <t>Every December, NCP is updated with new informations, related to antipollution capacities, antipollution team, contact details, etc</t>
  </si>
  <si>
    <t>Some Annexes of National Contigency Plan need to be completed;</t>
  </si>
  <si>
    <t>Technical Assistence is needed, in order to complete Annexes of National Contigency Plan, in accordance with the guidelines, manuals or requirement of international Conventions related.</t>
  </si>
  <si>
    <t xml:space="preserve">REMPEC to assist the Albanian competent national authorities in establishing necessary contacts and initiating the process of accession of the Republic of Albania to the Agreement Adriatic Sub-regional Contingency Plan.   
</t>
  </si>
  <si>
    <t>The two-day Meeting (First Meeting - October 2022) will gather representatives from Albania, Bosnia and Herzegovina, Croatia, Italy, Montenegro and Slovenia to initiate the development of the Adriatic Sub Regional Oil Spill Contingency Plan (SCP).</t>
  </si>
  <si>
    <t xml:space="preserve">The objectives of the First Meeting are: 
- to present the proposed programme for the development of the Sub-regional Contingency Plan;
- to discuss ongoing related national and sub-regional activities and cooperation arrangements;
- to examine the preliminary draft proposal, and;
- to agree upon the implementation timetable.
</t>
  </si>
  <si>
    <t>To be considerd when  completes  1.4.2a</t>
  </si>
  <si>
    <t>The two-day Meeting (Second  Meeting - February 2023) will gather representatives from Albania, Bosnia and Herzegovina, Croatia, Italy, Montenegro and Slovenia to continue the development of the Adriatic Sub Regional Oil Spill Contingency Plan (SCP).</t>
  </si>
  <si>
    <t xml:space="preserve">The objectives of the Second Meeting are:  
- to discuss and improve as necessary the draft SCP;
- to present and disuss the Draft Annexes of the SCP and the Draft Sub-regional Agreement on the SCP; 
- to present the programme of activities to implement the SCP at the short, mid and long term; 
- to agree upon the timetable for the completion of these documents for the review by the third and last Meeting, October 2023
</t>
  </si>
  <si>
    <t>To be considerd when  completes  1.4.2b</t>
  </si>
  <si>
    <t>The Third Meeting (Oct 11, 2023 to Nov 11, 2023) on the development of the Adriatic Sub regional Oil Spill Contingency Plan will gather representatives from Albania, Bosnia and Herzegovina, Croatia, Italy, Montenegro and Slovenia to complete the development of the Adriatic Sub Regional Oil Spill Contingency Plan (SCP).</t>
  </si>
  <si>
    <t>The objectives of the Third Meeting are:  - to examine and agree on the final draft SCP, Draft Annexes and Draft Sub-regional Agreement on the SCP and the programme of activties to implement the SCP at the short, mid and long term;</t>
  </si>
  <si>
    <t>Technical assistance to set-up the modalities of possible creation and operation, including in terms of governance and financing of a regional ”Blue Fund”</t>
  </si>
  <si>
    <t xml:space="preserve">2002 Prevention and Emergency Protocol - not ratified; Albania has ratified Barcelona Convention with 6 Annexes; </t>
  </si>
  <si>
    <t xml:space="preserve">It is strongly recommended that Albania accedes as soon as practical to the 2002 Prevention and Emergency Protocol.  It is further recommended to consult REMPEC regarding the procedure for the accession.
</t>
  </si>
  <si>
    <t xml:space="preserve">Ratified by the Law No. 9594, Dated 27.07.2006;  </t>
  </si>
  <si>
    <t>Tecnical assistance for the effective implementation and strict enforcement</t>
  </si>
  <si>
    <t xml:space="preserve">Ratified by the Law No. 9692, dated 08.03.2007; </t>
  </si>
  <si>
    <t>The bylaws or regulations for the effective implementation of the Convention need to be adopted</t>
  </si>
  <si>
    <t xml:space="preserve">Ratified by the Law  No. 89/2012; </t>
  </si>
  <si>
    <t>Ratified by the Law  No. 9293, dated 21.10.2004;</t>
  </si>
  <si>
    <t xml:space="preserve">Ratified by the Law  No. 10224, dated 04.02.2010; </t>
  </si>
  <si>
    <t xml:space="preserve">Ratified by the Law No. 9292, dated 21.10.2004;  </t>
  </si>
  <si>
    <r>
      <rPr>
        <sz val="12"/>
        <color rgb="FF000000"/>
        <rFont val="Calibri"/>
        <family val="2"/>
      </rPr>
      <t>● the 2010 Protocol to the International Convention on Liability and Compensation for Damage in Connection with the Carriage of Hazardous and Noxious Substances by Sea, 1996 (The 2010 HNS Protocol).(</t>
    </r>
    <r>
      <rPr>
        <i/>
        <sz val="12"/>
        <color rgb="FF000000"/>
        <rFont val="Arial"/>
        <family val="2"/>
      </rPr>
      <t>Still not into force</t>
    </r>
    <r>
      <rPr>
        <sz val="12"/>
        <color rgb="FF000000"/>
        <rFont val="Arial"/>
        <family val="2"/>
      </rPr>
      <t>)</t>
    </r>
  </si>
  <si>
    <t xml:space="preserve">Technical Assistance to ratify the 2010 HNS Protocol. </t>
  </si>
  <si>
    <t>IMSAS - IMO Member State Audit Scheme -  Audit of Albania, May 2016;</t>
  </si>
  <si>
    <t>The Scope of the Audit addressed Flag, Coastal and Port State obligations of Albania.</t>
  </si>
  <si>
    <t xml:space="preserve">Law no 9251, dated 08.07.2004, - Article 369, Article 370, Article 371, Article 376, Article 389;  Criminal Code of the Republic of Albania, - Article 203; Law no 8905, dated 06.06.2002 - Article 6, Article 18;
</t>
  </si>
  <si>
    <t>See NCP, Annex 9</t>
  </si>
  <si>
    <t>MIE is working on the approximation of the Albanian legislation with Directive 2005/35/EC on ship source pollution and on the introduction of penalties, including criminal penalties, for pollution offences amended by Directive 2009/123/EC (consolidated version);</t>
  </si>
  <si>
    <t>Technical assistence has been provided under the project financed by the Norwegian Government and managed by UNDP Albania.</t>
  </si>
  <si>
    <t>To be considered with action 1.4.4</t>
  </si>
  <si>
    <t>Not all major ports have established collection, treatment and disposal   procedures for oily wastes</t>
  </si>
  <si>
    <t>Training with involved stakeholders to address that issue</t>
  </si>
  <si>
    <t>Not all major ports have in place the collection, treatment and disposal   procedures for oily wastes</t>
  </si>
  <si>
    <t>Needs to buy some more PRF for this waste category.</t>
  </si>
  <si>
    <t>REMPEC to have provided well- structured advice assessing the type, specifications and capacity of the equipment necessary at major ports in Albania to efficiently handle  Noxious Liquid Substances (NLS), generated by ships.</t>
  </si>
  <si>
    <t>No reception facilities for this category</t>
  </si>
  <si>
    <t>Needs to buy some PRF for this waste category.</t>
  </si>
  <si>
    <r>
      <rPr>
        <sz val="12"/>
        <color rgb="FF000000"/>
        <rFont val="Calibri"/>
        <family val="2"/>
      </rPr>
      <t xml:space="preserve">% of major </t>
    </r>
    <r>
      <rPr>
        <b/>
        <sz val="12"/>
        <color rgb="FF000000"/>
        <rFont val="Calibri Light"/>
        <family val="2"/>
      </rPr>
      <t>ports having established collection and treatment procedures for sewage</t>
    </r>
    <r>
      <rPr>
        <sz val="12"/>
        <color rgb="FF000000"/>
        <rFont val="Calibri Light"/>
        <family val="2"/>
      </rPr>
      <t>; and</t>
    </r>
  </si>
  <si>
    <t>Not all major ports have established collection, treatment and disposal   procedures for sewage</t>
  </si>
  <si>
    <t>REMPEC to have provided well- structured advice assessing the type, specifications and capacity of the equipment necessary at major ports in Albania to efficiently handle sewage generated by ships.</t>
  </si>
  <si>
    <r>
      <rPr>
        <sz val="12"/>
        <color rgb="FF000000"/>
        <rFont val="Calibri"/>
        <family val="2"/>
      </rPr>
      <t xml:space="preserve">% of major </t>
    </r>
    <r>
      <rPr>
        <b/>
        <sz val="12"/>
        <color rgb="FF000000"/>
        <rFont val="Calibri Light"/>
        <family val="2"/>
      </rPr>
      <t>ports with collection and treatment procedures for sewage in place</t>
    </r>
    <r>
      <rPr>
        <sz val="12"/>
        <color rgb="FF000000"/>
        <rFont val="Calibri Light"/>
        <family val="2"/>
      </rPr>
      <t>.</t>
    </r>
  </si>
  <si>
    <t>First National Workshop Albania, 2 days (June - July 2022): National self-assessments of the level of preparedness to respond to Oil Spills and consequent Global Improvement Programme (GIP) identifying specific improvements to areas of spill response preparedness and readiness</t>
  </si>
  <si>
    <t>It has been postponed to September 2022;</t>
  </si>
  <si>
    <t>Second National Workshop: Adoption of an effective and achievable National Implementation Plan of the GIP - Albania, September-October 2022;</t>
  </si>
  <si>
    <t>More antipollution equipment is neded, as well as training of antipollution team.</t>
  </si>
  <si>
    <t>Need to buy more antipollution means, like antipollution ships,  booms, dispersant, absorbent, etc</t>
  </si>
  <si>
    <t>No response capabilities for this category, as well as no trained antipollution team.</t>
  </si>
  <si>
    <t>Trainining on adequate HNS response capabilities (both in human resources and equipment)</t>
  </si>
  <si>
    <t xml:space="preserve">It's related to the completion of actions 1.10.1b, 1.10.1c </t>
  </si>
  <si>
    <t>Need to buy more antipollution means, like  booms, boom reels, oil skimmers, dispersant, absorbent, pumps, storage  capacities,etc</t>
  </si>
  <si>
    <t>It's related to the completion of actions 1.10.1b, 1.10.1c ; at the same time, it should be considered the completion of the actions 1.4.2a, 1.4.2b;</t>
  </si>
  <si>
    <t>Training to addres that issue</t>
  </si>
  <si>
    <t>In all trainings and projects in the field of maritime transport, the role of the EMSA pollution response services available in the Mediterranean has been emphasized.</t>
  </si>
  <si>
    <t>Surveillance and monitoring capabilities, like radar, ships...</t>
  </si>
  <si>
    <t>Aircraft for aerial surveillance</t>
  </si>
  <si>
    <t>General Maritime Directorate (GMD; Interinstitutional Maritime Organizational Centre (IMOC), have acces to CleanSeaNet;</t>
  </si>
  <si>
    <t>CleanSeaNet Online Training for Duty Officers from Albania and Montenegro - March 2021</t>
  </si>
  <si>
    <t>Training Objectives: • Understand the operational use of CleanSeaNet service for polluter identification and response; • Access and use information/data from SEG; • Interpret the content of the Alert report; • Use the Feedback form to report verification of detected spills for service validation.</t>
  </si>
  <si>
    <r>
      <rPr>
        <sz val="12"/>
        <color rgb="FF000000"/>
        <rFont val="Calibri"/>
        <family val="2"/>
      </rPr>
      <t xml:space="preserve">To increase awareness on the AIS based traffic monitoring services offered by EMSA (e.g. </t>
    </r>
    <r>
      <rPr>
        <sz val="12"/>
        <color rgb="FF000000"/>
        <rFont val="Arial"/>
        <family val="2"/>
      </rPr>
      <t>SafeSeaNet Ecosystem Graphical User Interface (SEG) and the regional cooperation entities (e.g. Mediterranean regional AIS server (MAREƩ)).</t>
    </r>
  </si>
  <si>
    <t>CleanSeaNet Training for Duty Officers using SEG, September 2018. Within the framework of the project “Preparatory measures for the participation of Enlargement countries in EMSA’s work”, EMSA invited representatives from Albania, Montenegro and Turkey to attend a CleanSeaNet training sessions, organised for the EU/EFTA Member States.</t>
  </si>
  <si>
    <t>After the implementation of VTMIS and national AIS, we will have access to   Mediterranean regional AIS server (MAREƩ). See Conditions of Use for the participation of the SAFEMED and BCSEA Countries in MAREΣ in phase 2 Rome, 12 December 2019</t>
  </si>
  <si>
    <t xml:space="preserve">Albania (Bledar Karoli - MIE) participated on "Workshop on a common emergency communication system for the Mediterranean",  22-23 October 2019, Brussels, Belgium. DG ECHO invited non-EU countries to have national consultations regarding possible expression of interest to access and use CECIS MP, as well as to update the current  Data  Bases  (MEDGIS-MAR, CECIS MP)  with  their  national  data  (equipment, experts).       </t>
  </si>
  <si>
    <t xml:space="preserve">The introduction to CECIS MP,  followed by an operational part to better familiarise the National Responsible Authority with the use of the system and to develop hands-on experience through the simulation of an emergency scenarios in Albania with request and offer of assistance between the Mediterranean States. </t>
  </si>
  <si>
    <t xml:space="preserve">Western Mediterranean Region Marine Oil &amp; HNS Pollution Cooperation Project -   The West MOPoCo Project </t>
  </si>
  <si>
    <r>
      <rPr>
        <sz val="8"/>
        <color rgb="FF000000"/>
        <rFont val="Calibri"/>
        <family val="2"/>
      </rPr>
      <t xml:space="preserve">INFORMATION </t>
    </r>
    <r>
      <rPr>
        <sz val="8"/>
        <color rgb="FF000000"/>
        <rFont val="Calibri Light"/>
        <family val="2"/>
      </rPr>
      <t xml:space="preserve"> </t>
    </r>
    <r>
      <rPr>
        <b/>
        <sz val="8"/>
        <color rgb="FFFFFFFF"/>
        <rFont val="Calibri Light"/>
        <family val="2"/>
      </rPr>
      <t>AND KNOWLEDGE SHARING</t>
    </r>
  </si>
  <si>
    <r>
      <rPr>
        <sz val="8"/>
        <color rgb="FF000000"/>
        <rFont val="Calibri"/>
        <family val="2"/>
      </rPr>
      <t xml:space="preserve">INFORMATION </t>
    </r>
    <r>
      <rPr>
        <sz val="8"/>
        <color rgb="FF000000"/>
        <rFont val="Calibri Light"/>
        <family val="2"/>
      </rPr>
      <t xml:space="preserve"> </t>
    </r>
    <r>
      <rPr>
        <b/>
        <sz val="8"/>
        <color rgb="FF000000"/>
        <rFont val="Calibri Light"/>
        <family val="2"/>
      </rPr>
      <t>AND KNOWLEDGE SHARING</t>
    </r>
  </si>
  <si>
    <t>Ministry of Tourism and Environment (MTE)</t>
  </si>
  <si>
    <t>Training to bring on focus the respective Guidelines</t>
  </si>
  <si>
    <t>See National Contigency Plan NCP</t>
  </si>
  <si>
    <t>Need to be integrated in NCP, in respective Annex 14, 15 (uncompleted).</t>
  </si>
  <si>
    <t>Technical Assistence to complete relevant Annex of NCP, addressing dispersants for combating oil pollution at sea.</t>
  </si>
  <si>
    <t>See National Contigency Plan NCP, Annex 16.</t>
  </si>
  <si>
    <t>See National Contigency Plan NCP, Annex 17.</t>
  </si>
  <si>
    <t>To be considered with action 1.2.1d</t>
  </si>
  <si>
    <t>Technical Assistence to complete relevant Annex of NCP, addressing  determination of potential sites for waste disposal;</t>
  </si>
  <si>
    <r>
      <rPr>
        <sz val="12"/>
        <color rgb="FF000000"/>
        <rFont val="Calibri"/>
        <family val="2"/>
      </rPr>
      <t xml:space="preserve">MSD is reflected in the documentation for the goods being transported. See NCP, point 8.7  -  </t>
    </r>
    <r>
      <rPr>
        <i/>
        <sz val="12"/>
        <color rgb="FF000000"/>
        <rFont val="Calibri"/>
        <family val="2"/>
      </rPr>
      <t>In the absence of detailed instructions for handling harmful and hazardous substances, MIDSIS-TROCS (Mediterranean Integrated Decision Support Information System)  version 2.0 or later shall be used.</t>
    </r>
  </si>
  <si>
    <t>Training on MSDS as well as using of the Maritime Integrated Decision Support Information System on Transport of Chemical Substances (MIDSIS-TROCS)</t>
  </si>
  <si>
    <t>MSDS is an important source of information on physical and chemical properties of a chemical that might be released during an accident, and it is essential that these are clearly understood by the personnel handling chemicals.</t>
  </si>
  <si>
    <t>There is an inventory of national response capacities, including PPE, which are managed by IMOC. See obligations under NCP, Annex 21.</t>
  </si>
  <si>
    <t>MSDS regularly contain information on the biological and hazardous properties presented by the chemical in question and the preventive measures to be taken when the chemical is spilled.</t>
  </si>
  <si>
    <t xml:space="preserve">Under review by the Oil and Gas Terminals;  </t>
  </si>
  <si>
    <t>There is a need to address the potential accidental release of such products within the whole context of preparedness for and response to maritime incidents.</t>
  </si>
  <si>
    <t>See National Contigency Plan NCP, which is strucured in accordance with this Guideline.</t>
  </si>
  <si>
    <t>See National Contigency Plan NCP, Annex 23</t>
  </si>
  <si>
    <t>See National Contigency Plan NCP, Annex 16</t>
  </si>
  <si>
    <t>More specific knowledge  is needed to address that issues;</t>
  </si>
  <si>
    <t>See National Contigency Plan NCP, from 7.26 to 7.32</t>
  </si>
  <si>
    <t>To be included as an Annex of NCP</t>
  </si>
  <si>
    <t>See National Contigency Plan NCP, from 7.41 to 7.45</t>
  </si>
  <si>
    <t>See National Contigency Plan NCP, from 7.35 to 7.40</t>
  </si>
  <si>
    <t>Manual has been published after establishment of NCP</t>
  </si>
  <si>
    <t>Training and technical assistance to be included in NCP as an Annex</t>
  </si>
  <si>
    <t>MARINE HNS RESPONSE MANUAL Multi-regional Bonn Agreement, HELCOM, REMPEC</t>
  </si>
  <si>
    <t>Training is needed to address that issues;</t>
  </si>
  <si>
    <t>See National Contigency Plan NCP, from 9.1 to 9.8</t>
  </si>
  <si>
    <t>Training and technical assistance to be included in NCP, respective Annex 19, 20 - Update these Annexes;</t>
  </si>
  <si>
    <t>National Contigency Plan includes some of   the measures provided by  IMO/UNEP Guidance Manual on the assessment and restoration of environmental damage following marine oil spills (2009 edition)</t>
  </si>
  <si>
    <t>Technical Assistance to update NCP in accordance with IMO/UNEP Guidance Manual (2009 edition)</t>
  </si>
  <si>
    <t>Training on: How to apply this guideline</t>
  </si>
  <si>
    <t>Guidance has been published after establishment of NCP</t>
  </si>
  <si>
    <t xml:space="preserve">Technical Assistance to update NCP in accordance with  Guidance on the safe operation of oil pollution combating equipment (2017) </t>
  </si>
  <si>
    <t>Guideline has been published after establishment of NCP</t>
  </si>
  <si>
    <t>Technical Assistance to update NCP in accordance with Guideline for oil spill response in fast currents (2013 edition)</t>
  </si>
  <si>
    <t>Technical Assistance to update NCP in accordance with these guidelines, in order to provide users with clear criteria to enable them to evaluate the circumstances in which to consider the use of bioremediation for shoreline clean-up.</t>
  </si>
  <si>
    <t>To addres these guidelines to the ships flying Albanian flag, as it is foreseen by the NCP - first level;</t>
  </si>
  <si>
    <t>Training with shipowners to address that issue</t>
  </si>
  <si>
    <r>
      <rPr>
        <i/>
        <sz val="12"/>
        <color rgb="FF000000"/>
        <rFont val="Calibri"/>
        <family val="2"/>
      </rPr>
      <t>Technical Assistance to update NCP in accordance with these guidelines</t>
    </r>
    <r>
      <rPr>
        <sz val="12"/>
        <color rgb="FF000000"/>
        <rFont val="Calibri"/>
        <family val="2"/>
      </rPr>
      <t xml:space="preserve"> on managing seafood safety during and after oil spills, providing a very useful guide to identify the various problems that will affect fisheries and aquaculture enterprises in the event of an oil spill. </t>
    </r>
  </si>
  <si>
    <t>This document will be useful to spill responders and managers with responsibilities for protecting public health and those in the fisheries sector as well as consumers concerned about the safety and quality of seafood.</t>
  </si>
  <si>
    <t xml:space="preserve">Spillages of hazardous and noxious substances and of setting up response organizations have not trated in NCP. </t>
  </si>
  <si>
    <t xml:space="preserve">Technical Assistance to update NCP in accordance with these guidelines on ways of assessing hazards associated with spillages of hazardous and noxious substances and of setting up response organizations. 
</t>
  </si>
  <si>
    <t>Search and Recovery of Packaged Goods Lost at Sea describes the fate of such packages and related options for response, and gives guidelines on how to decide whether the packages should be recovered.</t>
  </si>
  <si>
    <t>Response actions for different habitats have not been specified in NCP</t>
  </si>
  <si>
    <t>Technical assistance to adress that issues in NCP.</t>
  </si>
  <si>
    <t>Guide has been published after establishment of NCP</t>
  </si>
  <si>
    <t xml:space="preserve">It should be considered, in order to update NCP, taking into consideration recent development foreseen in this document. </t>
  </si>
  <si>
    <t>Guide aims to provide an in-depth understanding on the effective implementation of the 1990 (OPRC Convention) and  2000 (OPRC-HNS Protocol).</t>
  </si>
  <si>
    <t>Training to address that issue;</t>
  </si>
  <si>
    <t>Training to address thaeissues;</t>
  </si>
  <si>
    <t>1.13.1 To improve the quality, speed and effectiveness of decision-making process through the maintenance, update, upgrade, development and inter-connection of technical and decision support tools, including: 
a)        Barcelona Convention Reporting System (BCRS) 
b)        REMPEC Country Profile
c)        MENELAS Information system
d)        The Maritime Integrated Decision Support Information System on Transport of Chemical Substances (MIDSIS-TROCS) 
e)        The Mediterranean Integrated Geographical Information System on Marine Pollution Risk Assessment and Response (MEDGIS-MAR)
f)        Mediterranean Oil Spill Waste Management Decision Support Tool (Waste Management)
g)        Common Emergency and Information System (CECIS)
h)        EU SafeSeaNet, the vessel traffic monitoring and information system covering the waters in and around EU 
i)        Data and images from Earth Observation satellites (CleanSeaNet and Copernicus services)
j)        THETIS-MeD
k)        Mediterranean AIS experts working group (MAREΣ)
l)        Global Integrated Shipping Information System (GISIS)</t>
  </si>
  <si>
    <r>
      <rPr>
        <sz val="12"/>
        <color rgb="FF000000"/>
        <rFont val="Calibri"/>
        <family val="2"/>
      </rPr>
      <t xml:space="preserve">Decision support tool maintained, updated and upgraded are as follows: </t>
    </r>
    <r>
      <rPr>
        <i/>
        <sz val="12"/>
        <color rgb="FF000000"/>
        <rFont val="Calibri"/>
        <family val="2"/>
      </rPr>
      <t>Barcelona Convention Reporting System (BCRS);  REMPEC Country Profile; MENELAS Information system; The Maritime Integrated Decision Support Information System on Transport of Chemical Substances (MIDSIS-TROCS);  EU SafeSeaNet, the vessel traffic monitoring and information system covering the waters in and around EU; Global Integrated Shipping Information System (GISIS).</t>
    </r>
  </si>
  <si>
    <t>It should be considered with the action 1.13.1a;</t>
  </si>
  <si>
    <t>Not all decision support tools in use have been updated with national information</t>
  </si>
  <si>
    <t>Training on how to update all applicable decision support tool that are in place;</t>
  </si>
  <si>
    <t>Albania is using decision support tool as follows: Barcelona Convention Reporting System (BCRS);  REMPEC Country Profile; MENELAS Information system; The Maritime Integrated Decision Support Information System on Transport of Chemical Substances (MIDSIS-TROCS);  EU SafeSeaNet, the vessel traffic monitoring and information system covering the waters in and around EU; Global Integrated Shipping Information System (GISIS).</t>
  </si>
  <si>
    <t>Training on how to have access to and use all applicable decision support tool that are not in place;</t>
  </si>
  <si>
    <t>It has been foreseen in National Contigency Plan NCP, Annex 9.</t>
  </si>
  <si>
    <t xml:space="preserve">The Mediterranean Integrated Geographical Information System on Marine Pollution Risk Assessment and Response (MEDGIS-MAR) </t>
  </si>
  <si>
    <t>IMO GISIS</t>
  </si>
  <si>
    <t>Tomi: There is not any tanker flying Albanian Flag</t>
  </si>
  <si>
    <t>Training to address that issue</t>
  </si>
  <si>
    <r>
      <rPr>
        <sz val="12"/>
        <color rgb="FF000000"/>
        <rFont val="Calibri"/>
        <family val="2"/>
      </rPr>
      <t xml:space="preserve">Should be reported: </t>
    </r>
    <r>
      <rPr>
        <i/>
        <sz val="12"/>
        <color rgb="FF000000"/>
        <rFont val="Calibri"/>
        <family val="2"/>
      </rPr>
      <t xml:space="preserve">Trilateral Memorandum of Understanding/Agreement for maritime coordination in the South-Adriatic, on the date 24.04.2020. Parties of this MoU are: The Ministry of Infrastructure and Energy of Albania, the Ministry of Transport and Maritime Affairs of Montenegro, and Puglia Region 
</t>
    </r>
  </si>
  <si>
    <t xml:space="preserve"> It should be considered with action 1.14.1.f;</t>
  </si>
  <si>
    <t>National workshop with stakeholders involved in that issue. (Memorandum of Understanding to be considered)</t>
  </si>
  <si>
    <t>It should be consider with action 3.1.1;</t>
  </si>
  <si>
    <t>It should be considered with action 2.12.2a;</t>
  </si>
  <si>
    <t xml:space="preserve">Training of related stakeholders to address that issue; </t>
  </si>
  <si>
    <t>According to Article 13, point 8, of  Law No 155/2020 "ON CLIMATE CHANGE": The Regulation on monitoring, reporting and verification of CO2 emissions from ships and aircraft is approved by the Council of Ministers, on the proposal of the MIE and the MTE;</t>
  </si>
  <si>
    <t>Any other national bylaw derived from Annex VI should be considered for approval; It should be considered with action 2.12.2a;</t>
  </si>
  <si>
    <t>Training to address that issues;</t>
  </si>
  <si>
    <t xml:space="preserve">Annex VI has been ratified by the Law No.9 / 2020;  Any other national bylaw derived from Annex VI should be considered for approval; </t>
  </si>
  <si>
    <t>It should be considered with action 2.12.2a, action 3.12.2d;</t>
  </si>
  <si>
    <t>Training on how to develop the national ship emissions reduction strategy;</t>
  </si>
  <si>
    <t>Training on the assessment of port emissions;</t>
  </si>
  <si>
    <t>It should be considered with action 2.12.2e, action 3.12.2e;</t>
  </si>
  <si>
    <t>Training on how to develop the port emissions reduction strategies;</t>
  </si>
  <si>
    <t>Bylaws and / or regulations  derived from the Law that ratifies Annex VI are needed as well as trained personel</t>
  </si>
  <si>
    <t xml:space="preserve">Technical assistance to develop bylaws and /or regulations as well as the training of related personnel; </t>
  </si>
  <si>
    <t>IMO Train the Trainer (TTT) Course on Energy Efficient Ship Operation</t>
  </si>
  <si>
    <t>Training of the related personnel on IMO Energy Efficient Operation of Ships Model Course 4.05;</t>
  </si>
  <si>
    <t>It should be considered with actions 2.12.2f; 2.12.2g; 2.12.2h; 2.12.2i; 2.12.2j;</t>
  </si>
  <si>
    <t>Training of the relevant stakeholders to address the issues;</t>
  </si>
  <si>
    <t xml:space="preserve">Under the auspicious of the MIE, Port of Vlora, is a partner of the SMARTPORT project. SMARTPORT project intends to optimize energy savings and achieve high levels of energy efficiency in the port areas;   </t>
  </si>
  <si>
    <t>Training of the related personnel to addres that issues;</t>
  </si>
  <si>
    <t xml:space="preserve">MIE is working on the approximation of the "Regulation 2015/757 in national legislation.   </t>
  </si>
  <si>
    <r>
      <rPr>
        <sz val="12"/>
        <color rgb="FF000000"/>
        <rFont val="Calibri"/>
        <family val="2"/>
      </rPr>
      <t>● Reporting requirements to THETIS MRV, enabling companies responsible for the operation of large ships using EU ports to report their CO</t>
    </r>
    <r>
      <rPr>
        <sz val="12"/>
        <color rgb="FF000000"/>
        <rFont val="Arial"/>
        <family val="2"/>
      </rPr>
      <t>2 emissions under the Regulation (EU) 2015/757 on Monitoring, Reporting and Verification of CO2 from marine transport.</t>
    </r>
  </si>
  <si>
    <t xml:space="preserve">Not registered to the EU-MRV system to report CO2 to report emissions from ships according to the Regulation 2015/757;  </t>
  </si>
  <si>
    <t>Training of the related personnel to addres that issue;</t>
  </si>
  <si>
    <t xml:space="preserve">To be considered after approval of  Regulation 2015/757;   </t>
  </si>
  <si>
    <r>
      <rPr>
        <sz val="12"/>
        <color rgb="FF000000"/>
        <rFont val="Calibri"/>
        <family val="2"/>
      </rPr>
      <t xml:space="preserve">National Law in place: Law No 155/2020 "ON CLIMATE CHANGE"; According to Article 13 of this Law:  </t>
    </r>
    <r>
      <rPr>
        <i/>
        <sz val="12"/>
        <color rgb="FF000000"/>
        <rFont val="Calibri"/>
        <family val="2"/>
      </rPr>
      <t>The MIE and MTE  promote the implementation of measures for the production of energy from non-carbon renewable sources, measures for maintaining energy efficiency in all economic sectors ...</t>
    </r>
  </si>
  <si>
    <t>National workshop focused on the promotion of technologies and operations to improve energy efficiency in the maritime sector building on the experience of Maritime Technologies Cooperation Centres (MTCCs)</t>
  </si>
  <si>
    <t>VTMIS is under procedure to be implemented</t>
  </si>
  <si>
    <t xml:space="preserve">It should be considered with action 3.3.2;  </t>
  </si>
  <si>
    <t>Training to addres the issue:</t>
  </si>
  <si>
    <t>To be considered with action  3.3.1;</t>
  </si>
  <si>
    <t>Training with respective stakeholders to address that issue;</t>
  </si>
  <si>
    <t>National Environment Agency is responsible to organise  campaigns to monitor ship emissions</t>
  </si>
  <si>
    <t>To be considered with action 2.2.3c, action 2.2.4d and action 2.2.5e;</t>
  </si>
  <si>
    <t>Training to adrres those issues;</t>
  </si>
  <si>
    <t>Port of Durres Authority, was partner of the SUPAIR Project:  SUPAIR project supports port authorities in the implementation of low-carbon and multimodal transport and mobility solutions within a macro-regional context.</t>
  </si>
  <si>
    <t>It should be considered with action 1.4.4, action 1.7.4, action 3.4.3;</t>
  </si>
  <si>
    <t>Technical Assistance to address that issue</t>
  </si>
  <si>
    <t xml:space="preserve">Annex VI has been ratified by the Law No.9 / 2020;  </t>
  </si>
  <si>
    <t>Bylaws and / or regulations are needed to implement it</t>
  </si>
  <si>
    <t>Last IMO Audit was on May, 2016. In that time, Marpol Annex VI was not ratified by Albania.</t>
  </si>
  <si>
    <t>Bylaws and / or regulations are needed to implement it as well as trained personel</t>
  </si>
  <si>
    <r>
      <rPr>
        <sz val="12"/>
        <color rgb="FF000000"/>
        <rFont val="Calibri"/>
        <family val="2"/>
      </rPr>
      <t>To comply with the mandatory technical and operational requirements which apply to ships of 400 GT and above, i.e. the EEDI, applicable to new ships, which sets a minimum energy efficiency level for the work undertaken (e.g. CO</t>
    </r>
    <r>
      <rPr>
        <vertAlign val="subscript"/>
        <sz val="12"/>
        <color rgb="FF000000"/>
        <rFont val="Calibri Light"/>
        <family val="2"/>
      </rPr>
      <t>2</t>
    </r>
    <r>
      <rPr>
        <sz val="12"/>
        <color rgb="FF000000"/>
        <rFont val="Calibri Light"/>
        <family val="2"/>
      </rPr>
      <t xml:space="preserve"> emissions per tonne-mile) for different ship types and sizes, and the SEEMP, applicable to all ships</t>
    </r>
  </si>
  <si>
    <t xml:space="preserve">Technical assistance from REMPEC for setting up national legal framework (regulations) for prosecuting offenders for infringements of MARPOL Annex VI, through MENELAS </t>
  </si>
  <si>
    <t xml:space="preserve">Law 8905 dated 06.06.2002 “For the protection of the marine environment from pollution and damage”: Article 6, Article 18; Article 19; Law No 155/2020 "ON CLIMATE CHANGE", Article 34;  Law No. 162/2014 "On the Protection of Air Quality in the Environment, Article 20;  
</t>
  </si>
  <si>
    <t>National workshop with participation of all involved stakeholders to address that issue.</t>
  </si>
  <si>
    <t>Need invesments to buy PRF for ozone-depleting substances and exhaust cleaning residues;</t>
  </si>
  <si>
    <t xml:space="preserve">Partially approximated the Directive (EU) 2016/802 by the Decision no. 429, dated 26.6.2019: “On the quality of certain liquid fuels for thermal, civil and industrial use, as well as those used in water transport (sea, river, lake)”
</t>
  </si>
  <si>
    <t>Training of related stakeholders on how to implement the requirements of this DIrective.</t>
  </si>
  <si>
    <t>it should be considered with action 2.12.2e;</t>
  </si>
  <si>
    <t>Training of related stakeholders  to address that issues;</t>
  </si>
  <si>
    <t>% of CPs a zero-emissions berth standar</t>
  </si>
  <si>
    <t>Major ports don't have adequate onshore power supplies</t>
  </si>
  <si>
    <t>Needs for inventment to provide adequate onshore power supplies at ports.</t>
  </si>
  <si>
    <t>Needs for aerial surveillance means</t>
  </si>
  <si>
    <t>Technical Assistance to apply this guidelines as Regulations with legal power (Order by Minister of Infrastructure and Energy)</t>
  </si>
  <si>
    <t>It should be considered with action  3.12.2a;</t>
  </si>
  <si>
    <t>National Law in place: Law No 155/2020 "ON CLIMATE CHANGE", defines the responsible national authorities for ship emmisions;</t>
  </si>
  <si>
    <t>It should be considered with action It should be considered with action 2.2.2b;</t>
  </si>
  <si>
    <t>It should be considered with action It should be considered with action 2.2.3c;</t>
  </si>
  <si>
    <t>It should be considered with action It should be considered with action 2.2.4d, 3.12.2d;</t>
  </si>
  <si>
    <t>It should be considered with action It should be considered with action 2.2.5e;</t>
  </si>
  <si>
    <t>It should be considered as an integral part of the Integral Guide (see P 204);</t>
  </si>
  <si>
    <t>Technical Assistance to apply all guidelines (from 2.12.2a to 2.12.2j) as Regulations with legal power (Order by Minister of Infrastructure and Energy)</t>
  </si>
  <si>
    <t>Develop, promote and disseminate an Integral Guide including in separate sections all the guidelines as mentioned (see N 204), in order to facilitate the implementation of Annex VI MARPOL;</t>
  </si>
  <si>
    <t>National workshop with scientific research institutions and the stakeholders related to maritime issues, in order to  promote technologies and operations to improve energy efficiency in the maritime sector and help navigate shipping into a low-carbon future.</t>
  </si>
  <si>
    <t>It should be considered with action 2.12.2a and action 2.2.2b;</t>
  </si>
  <si>
    <t>To invite relevant institutions and industry to participate in a national, regional or international forum to address that issues;</t>
  </si>
  <si>
    <t>It has been foreseen in the Law No 155/2020 "ON CLIMATE CHANGE"</t>
  </si>
  <si>
    <t>To organize a national or regional workshop with involved stakeholders to address the issues;</t>
  </si>
  <si>
    <t>National workshop with involved stakeholders to addres that documents.</t>
  </si>
  <si>
    <t>It should be consider with action 2.1.1;</t>
  </si>
  <si>
    <t>Training of all stakeholders that their activities have an impact on marine ecosystems, in order to increase as much as practical, the level of knowledge in the field of SOx and NOx emission control area requirements under MARPOL Annex VI.</t>
  </si>
  <si>
    <t>Training of all stakeholders that their activities have an impact on marine ecosystems, in order to increase their awareness / knowledge on sea acidification and its impact on marine ecosystems.</t>
  </si>
  <si>
    <t>It should be considered with action 2.3.1, action 3.14.2;</t>
  </si>
  <si>
    <t xml:space="preserve">It should be considered with action 2.2.4;  </t>
  </si>
  <si>
    <t>Technical assistance to address the question on the possible submission of a joint and coordinated proposal for the designation of the proposed Med SOX ECA to the IMO;</t>
  </si>
  <si>
    <t>National Workshop with relevant national stakeholders to addres the issues  related to the  Proposal for the Possible Designation of the Mediterranean Sea, as a whole, as an Emission Control Area for Nitrogen Oxides Pursuant to MARPOL Annex VI, within the Framework of the Barcelona Convention’;</t>
  </si>
  <si>
    <t>It should be considered with action 1.4.4, action 1.7.4, action 2.4.2;</t>
  </si>
  <si>
    <t>Annex VI of Marpol - ratified by Law No.9 / 2020. Bylaws and / or regulations are needed to implement it;</t>
  </si>
  <si>
    <t>Clause by Clause analysis of MARPOL Annex VI: See reference in column P 226;</t>
  </si>
  <si>
    <t>This document (Clause by Clause analysis of MARPOL Annex VI) is a reproduction of Annex 1 of the Ship Emissions Toolkit, Guide No.2: Incorporation of MARPOL Annex VI into national law, authored and published by the GEF-UNDP-IMO GloMEEP Project and IMarEST (2018).</t>
  </si>
  <si>
    <t>Clause by Clause analysis of MARPOL Annex VI: See reference in column P 229;</t>
  </si>
  <si>
    <t>This document is a reproduction of Annex 1 of the Ship Emissions Toolkit, Guide No.2: Incorporation of MARPOL Annex VI into national law, authored and published by the GEF-UNDP-IMO GloMEEP Project and IMarEST (2018).</t>
  </si>
  <si>
    <t>Clause by Clause analysis of MARPOL Annex VI: See reference in column P 230;</t>
  </si>
  <si>
    <t>To be considered after approval  of the  Directive (EU) 2019/883 with a national legislative act;</t>
  </si>
  <si>
    <t>Partially approximated the Directive (EU) 2016/802 by the Decision no. 429, dated 26.6.2019: “On the quality of certain liquid fuels for thermal, civil and industrial use, as well as those used in water transport (sea, river, lake)”</t>
  </si>
  <si>
    <t>Needs for adequate aerial surveillance and monitoring capabilities</t>
  </si>
  <si>
    <t>THETIS - MED was developed by EMSA in support of the Med MoU Secretariat and the Port State Control officers of the Med MoU parties. Albania is not a party of the Med MoU.</t>
  </si>
  <si>
    <t>Technical assistance to negotiate that Albania to join Med MoU, as well as to address the using THETIS-MED for such analysis;</t>
  </si>
  <si>
    <t>It should be considered after full implementation of national AIS; National AIS will be in place during 2022;</t>
  </si>
  <si>
    <t>Training to adrres the issue of action 3.11.3;</t>
  </si>
  <si>
    <t xml:space="preserve">South Adriatic Connectivity Governance SAGOV Project: VTMIS IN ALBANIA: BUILDING UP ON MONTENEGRO’S CASE </t>
  </si>
  <si>
    <t>It should be considered with action  2.12.2a, action 2.2.1a;</t>
  </si>
  <si>
    <t>It should be considered with action  2.12.2a, action 2.2.3c;</t>
  </si>
  <si>
    <t>It should be considered with action  2.12.2a, action 2.2.4d;</t>
  </si>
  <si>
    <t>It should be considered with action  2.12.2e, action 2.2.5e;</t>
  </si>
  <si>
    <t xml:space="preserve">To bring these Guidelines to the attention of shipowners, ship operators, fuel oil suppliers and any other interested groups; Administrations should encourage ships flying their flag to develop implementation plans, outlining how the ship may prepare in order to comply with the required sulphur content limit of 0.50% by 1 January 2020. </t>
  </si>
  <si>
    <t>To be considered with action 4.13.1a;</t>
  </si>
  <si>
    <t>Training to addres the issues with relevant stakeholders;</t>
  </si>
  <si>
    <t>It should be consider with action 2.3.1; 3.3.1;</t>
  </si>
  <si>
    <t>Training to addres that issue;</t>
  </si>
  <si>
    <t xml:space="preserve">Administrations should encourage ships flying their flag to develop implementation plans, outlining how the ship may prepare in order to comply with the required sulphur content limit of 0.50% by 1 January 2020. </t>
  </si>
  <si>
    <t>● MSFD TG Marine Litter - Marine Strategy Framework Directive (MSFD) Technical Group (TG) Marine Litter</t>
  </si>
  <si>
    <t xml:space="preserve">Project EUSIWM / EU SUPPORT TO INTEGRATED WATER MANAGEMENT - EC FUNDS; Under this project, the approximation of national legislation with Directive 2008/56/EC (Marine Strategy Framework Directive) is in process. </t>
  </si>
  <si>
    <t>Report on the results of the marine survey in Patok-Rodoni bay (Albania) is available at: www.spa-rac.org, www.paprac.org</t>
  </si>
  <si>
    <t>The GEF project developed a GIS application and info web system that enables the storing, assessing and reporting of data collected during national marine monitoring in Albania and Montenegro. The system in both countries is fully based on IMAP Info standards, enabling easy reporting to the IMAP INFO system.</t>
  </si>
  <si>
    <t>The Albanian and Montenegrin web GIS applications and info systems enable easy export of this verified data to the IMAP Info system, which allows both countries to fulfil their national monitoring commitments under the Barcelona Convention.</t>
  </si>
  <si>
    <t xml:space="preserve">Legal acts in place; </t>
  </si>
  <si>
    <t>To promote the collaboration among private sector operators, particularly cruise companies, to address single-use-plastics within their operations (i.e. hospitality services, toiletteries)</t>
  </si>
  <si>
    <t xml:space="preserve"> To offer students a proper knowledge and awareness of the impacts that the modern maritime industry has on the environment. It is also intended to stimulate the responsibility of the shipboard personnel to contribute to the environmentally-friendly maritime shipping. Recommended to all crew members and shore support personnel.</t>
  </si>
  <si>
    <t>The Ministry of Infrastructure and Energy, through the assistance of EMSA, transposed the DIRECTIVE 2009/18/EC and published the Order of MIE No. 52, dated 17.3.2022: On the approval of the Regulation "On methodology, rules, procedures, standards and practices, for carrying out investigation of accidents in the maritime transport sector";</t>
  </si>
  <si>
    <t>Technical assistance for the effective implementation of MARPOL Annex V;</t>
  </si>
  <si>
    <t>Under review; Should be consider with action 4.6.2b;</t>
  </si>
  <si>
    <t>National workshop with all involved stakeholders to address the issues;</t>
  </si>
  <si>
    <t xml:space="preserve">It should be considered with action 4.12.1.a; </t>
  </si>
  <si>
    <t xml:space="preserve">National Legal Acts are in place. </t>
  </si>
  <si>
    <t>Done in accordance with Marpol V Annex requirements</t>
  </si>
  <si>
    <t xml:space="preserve">It will have full compliance with MARPOL Annex V requirements, after approval of   the Directive (EU) 2019/883 as well as other related national regulations deriving from MARPOL Annex V;    
</t>
  </si>
  <si>
    <t>National training with stakeholders involved, to address that issue;</t>
  </si>
  <si>
    <t xml:space="preserve">Law No.10 463, Dated 22.9.2011 “For the Integrated Waste Management”  
</t>
  </si>
  <si>
    <t>Under review</t>
  </si>
  <si>
    <t>Traning on the structure, content and reporting of the National Action Plan on Marine Litter, as well as a set of indicators.</t>
  </si>
  <si>
    <t xml:space="preserve">Guidelines for the Development of Action Plans on Marine Litter;
</t>
  </si>
  <si>
    <t>All major ports have  adequate facilities for the reception of garbage, as required by regulation 8 of MARPOL Annex V;</t>
  </si>
  <si>
    <t xml:space="preserve">To be considered after approval of Directive (EU) 2019/883; </t>
  </si>
  <si>
    <t xml:space="preserve">The Ministry of Infrastructure and Energy, through the assistance of EMSA, is in the process of approximating Directive (EU) 2019/883 to national legislation, that  will address that issue.
</t>
  </si>
  <si>
    <t>It should be considered with action 4.12.3;</t>
  </si>
  <si>
    <t>Workshop with involved stakeholders to address that issue;</t>
  </si>
  <si>
    <t>All major ports use the procedure for the delivery of garbage to reception facilities;</t>
  </si>
  <si>
    <t>Law no 9251, date 08.07.2004, Article 369, Article 370, Article 371, Article 376, Article 389;  Criminal Code of the Republic of Albania -
Article 203; Law no.8905, dated 06.06.2002, Article 6, Article 18; Law No.10 463, Dated 22.9.2011, Article 62;</t>
  </si>
  <si>
    <t>It should be considered after approval of the Directive (EU) 2019/883 to the national legislation;</t>
  </si>
  <si>
    <t>The Ministry of Infrastructure and Energy, through the assistance of EMSA, is in the process of approximating Directive (EU) 2019/883 to national legislation, that  will address that issue, including pleasure craft and fishing boats.</t>
  </si>
  <si>
    <t>Not member of MoU</t>
  </si>
  <si>
    <t>Technical assistace to negotiate in order to become member of MoU</t>
  </si>
  <si>
    <t>It should be considered after the approval of the  Directive (EU) 2019/883 to national legislation, that  will address that issue, including pleasure craft and fishing boats.</t>
  </si>
  <si>
    <t>Training of the involved stakeholders to address the issues;</t>
  </si>
  <si>
    <t>It should be considered after the approval of the  Directive (EU) 2019/883 to national legislation;</t>
  </si>
  <si>
    <t xml:space="preserve">Technical assistance to effectively manage marine litter accidentally collected during fishing activities (the so-called “Fishing for Litter”) as well as damaged fishing gears, to realise adequate port reception facilities and cooperation within stakeholders;  </t>
  </si>
  <si>
    <t>Not in place an adequate surveillance / monitoring systems, including procedures and systems both in port and around the coast (aerial surveillance using RPAS)</t>
  </si>
  <si>
    <t xml:space="preserve">Needs for aerial  surveillance / monitoring systems; </t>
  </si>
  <si>
    <t xml:space="preserve">It will have full compliance with MARPOL Annex V requirements, after approval of   the related national regulations adopted from different IMO guidelines deriving from MARPOL Annex V;    
</t>
  </si>
  <si>
    <t>To be considered with action 4.4.1;</t>
  </si>
  <si>
    <t xml:space="preserve">GMD will undertake a review of the Action Plan (i.e. assess the need for updating actions and/or incorporating new actions to the plan) annually and a comprehensive review (i.e. assessing the effectiveness of the actions within the plan) after five years. </t>
  </si>
  <si>
    <t>Under review; to be considered with action 4.4.1;</t>
  </si>
  <si>
    <t>Technical Assistance to apply this guidelines as Regulations with legal power (Order by Minister of Infrastructure and Energy or/Order by General Maritime Directorate))</t>
  </si>
  <si>
    <t>Guidelines concerning pleasure craft activities and the protection of the marine environment in the Mediterranean</t>
  </si>
  <si>
    <t>Continous training with relevant stakeholders to address that issues;</t>
  </si>
  <si>
    <t>Wastes and residues regulated by the Ballast Water Management Convention, the Anti-Fouling Systems Convention and the London Protocol/London Convention are not covered in the present document.</t>
  </si>
  <si>
    <t>Training with involved stakeholders to address the issues of Marpol Annex V, Regulation 9 - Placards, garbage management plans and garbage record-keeping;</t>
  </si>
  <si>
    <t>It should be considered with action 4.6.5;</t>
  </si>
  <si>
    <t>Training with involved stakeholders  in order to support and promote the uptake of the FAO Voluntary Guidelines of the Marking of Fishing Gear in the Mediterranean.</t>
  </si>
  <si>
    <t>Governments should encourage vessel operators to implement appropriate onboard storage and handling of fishing gear, and should also consider relevant guidance issued by FAO and IMO.</t>
  </si>
  <si>
    <t>National legal act in place;  There is a need for awareness for the implementation of this law correctly;</t>
  </si>
  <si>
    <t>Training with stakeholders involved in order to promote the use of the regional policy guidelines (by SCP/RAC) to tackle single-use pastics, by port authorities and private sector operators.</t>
  </si>
  <si>
    <t>Law No.10 463, Dated 22.9.2011 “For Integrated Waste Management”; Law Nr. 28/2022: For Some Additions and Amendments to the Law No. 10 463, Dated 22.9.2011, "On Integrated Waste Management", amended</t>
  </si>
  <si>
    <t>To be considered with action 3.13.1b;</t>
  </si>
  <si>
    <t>Training with stakeholders involved in order to  increase awareness of any decision-support tools available to the CPs and industry</t>
  </si>
  <si>
    <t>Training with stakeholders involved in order to  learn how to use any decision-support tools available to the CPs and industry</t>
  </si>
  <si>
    <t>Training with stakeholders involved in order to effectively implement the mandatory reporting obligations under the London Convention, the London Protocol, MARPOL Annex V, and on a regional basis, the Dumping Protocol, while noting contents of MEPC.1/Circ834/Rev1; MEPC.295(71), MEPC.310(73)</t>
  </si>
  <si>
    <t>It should be considered with action 4.14.2;</t>
  </si>
  <si>
    <t>Training with involved stakeholders to address the issues;</t>
  </si>
  <si>
    <t>National Agency of Protected Areas (NAPA)</t>
  </si>
  <si>
    <t>Training of the  involved stakeholders to addres the issues;</t>
  </si>
  <si>
    <t xml:space="preserve">BWM Convention - ratified by the Law No.9912, dated 05.05.2008: </t>
  </si>
  <si>
    <t>Training  to implement effectively the Convention requirements .</t>
  </si>
  <si>
    <t xml:space="preserve">AFS Convention-ratified by the Law No. 19/2022;
</t>
  </si>
  <si>
    <t>IMO TA workshop on AFS is planned to take place at the end of September 2022 in Durres.</t>
  </si>
  <si>
    <t>Training/workshop how  to implement effectively the Convention requirements .</t>
  </si>
  <si>
    <t xml:space="preserve">With the assistance of IMO TA, it was planned to organise in Albania, a national workshop on AFS Convention and the Biofouling Guidelines on 30 June – 1 July 2020. Due to the situation with Covid-19 the workshop was postponed. </t>
  </si>
  <si>
    <t>Regional workshop on the International Convention on the Control of Harmful Anti-Fouling Systems on Ships, 2001 (AFS Convention) and the 2011 Guidelines for the Control and Management of Ships' Biofouling to Minimize the Transfer of Invasive Aquatic Species (Biofouling Guidelines) - Valletta, Malta, 12 to 14 November 2019 (Elson Thana)</t>
  </si>
  <si>
    <t>Under the Project funded by the Norwegian government and managed by UNDP, this guideline will be approved by the Order of MIE.</t>
  </si>
  <si>
    <t xml:space="preserve">The Ministry of Infrastructure and Energy, through the assistance of EMSA, has been preparing  2 national legal acts;
</t>
  </si>
  <si>
    <t>Regulation “On methodology, rules, procedures, standards and practices, on the investigation of railway and marine accidents and incidents- comlpeted; Directive (EU) 2019/883 to national legislation - in process;</t>
  </si>
  <si>
    <t xml:space="preserve"> The consultant has prepared the feasibility Study for the technical specification for VTMIS, which was approved by PIU in April 2021. It has been tendered and the winner has been announced for the supervision, preparation, installation and commissioning of the equipment (foreseen for 24 months)</t>
  </si>
  <si>
    <t>Training with involved stakeholders to addres the issues;</t>
  </si>
  <si>
    <t>BWM Convention and the AFS Convention have been ratified.</t>
  </si>
  <si>
    <t>Bylaws or regulations are needed to implement them</t>
  </si>
  <si>
    <t>It should be considered as a synthesis of the completion of all actions related to this process, such as Legal ones, training for Capacity Building / Technical Cooperation and the necessary Infrastructure for the implementation of all obligations of the CME system;</t>
  </si>
  <si>
    <t>Enforcing ballast water management requirements typically involves flag and port state control authorities inspecting national and foreign ships, reviewing ballast water reporting forms, boarding selected ships to review documents and inspect equipment, and upon occasion using sanctioning powers to quarantine or fine vessels for failure to meet their legal obligations;</t>
  </si>
  <si>
    <t>GloBallast Regional Training Workshop on Compliance, Monitoring and Enforcement (CME) of the Ballast Water Management (BWM) Convention, 15 - 16 March 2011, Split, CROATIA; Captain Hamdi DOMI - CERTIFICATE NO 2948; Mr Elson THANA - CERTIFICATE NO 2949;</t>
  </si>
  <si>
    <t>Law no 9251, date 08.07.2004 “Maritime Code of Republic of Albania” as amended: Article 369, Article 370, Article 371, Article 376, Article 389;  CRIMINAL CODE OF THE REPUBLIC OF ALBANIA: Article 203;  Law 8905 dated 06.06.2002 “For the protection of the marine environment from pollution and damage”: Article 6, Article 18</t>
  </si>
  <si>
    <t>To make ammendments at existing national laws related to the sanctions for infringement of environment protection.</t>
  </si>
  <si>
    <t>Need to be aproved some Bylwas, in order to implement BWM Convention and AFS Convention requirements.</t>
  </si>
  <si>
    <t xml:space="preserve">Albanian Maritime Administration is not party of MoU </t>
  </si>
  <si>
    <t>Technical Assistance to negotiate that Albania to become member of MoU.</t>
  </si>
  <si>
    <t>No PRF for this category of wastes</t>
  </si>
  <si>
    <t>To be consider after approval of  the Directive (EU) 2019/883 , which is in the process of approximation with national legislation; to take into considerattion the action 5.12.1e;</t>
  </si>
  <si>
    <t>Should be considered after the implementation of Action 5.12.1d</t>
  </si>
  <si>
    <t xml:space="preserve">National Environment Agency is responsible authority under Ministry of Tourism and Environment (MTE). </t>
  </si>
  <si>
    <t>A national monitoring programme for marine NIS does not exist in Albania. Occasionally, NIS have been reported from different marine expeditions, research surveys, diploma and doctoral thesis, scientific papers and project reports. However, an updated list or database still does not exist.</t>
  </si>
  <si>
    <t>It should be considered with action 5.12.1d, action 5.11.1;</t>
  </si>
  <si>
    <t xml:space="preserve">Based on these data, 35 marine alien species have been reported until now for Albania, including macroalgae, plants, molluscs, polychaetes, crustaceans, fish and ascidians. The predominant groups are molluscs (12), macroalgae (9) and fish (7). </t>
  </si>
  <si>
    <r>
      <rPr>
        <sz val="12"/>
        <color rgb="FF000000"/>
        <rFont val="Calibri"/>
        <family val="2"/>
      </rPr>
      <t xml:space="preserve">Under review: </t>
    </r>
    <r>
      <rPr>
        <i/>
        <sz val="12"/>
        <color rgb="FF000000"/>
        <rFont val="Calibri"/>
        <family val="2"/>
      </rPr>
      <t>This guidance is for use by all owners and operators of recreational craft less than 24 metres in length. All craft can potentially transfer invasive aquatic species, even trailered craft that are normally kept out of the water.</t>
    </r>
  </si>
  <si>
    <t xml:space="preserve">Workshop with stakeholders involved to  raise their awareness towards the risk of transferring invasive aquatic species and can also to improve fuel efficiency and operating speeds. </t>
  </si>
  <si>
    <t>To draft an integrated Regulation, taking into account all the guidelines  for the implementation of the BW Convention</t>
  </si>
  <si>
    <r>
      <rPr>
        <sz val="12"/>
        <color rgb="FF000000"/>
        <rFont val="Calibri"/>
        <family val="2"/>
      </rPr>
      <t xml:space="preserve">Under review: </t>
    </r>
    <r>
      <rPr>
        <i/>
        <sz val="12"/>
        <color rgb="FF000000"/>
        <rFont val="Calibri"/>
        <family val="2"/>
      </rPr>
      <t>The aim of the Guidelines is to provide a globally consistent approach to managing biofouling by providing useful recommendations on general measures to minimize the risks associated with biofouling for all types of ships.</t>
    </r>
  </si>
  <si>
    <t>Workshop with stakeholders involved to  raise their awareness  to manage biofouling by providing useful recommendations on general measures to minimize the risks associated with biofouling for all types of ships.</t>
  </si>
  <si>
    <r>
      <rPr>
        <sz val="12"/>
        <color rgb="FF000000"/>
        <rFont val="Calibri"/>
        <family val="2"/>
      </rPr>
      <t xml:space="preserve">Under review: </t>
    </r>
    <r>
      <rPr>
        <i/>
        <sz val="12"/>
        <color rgb="FF000000"/>
        <rFont val="Calibri"/>
        <family val="2"/>
      </rPr>
      <t xml:space="preserve">It aims to harmonise, where necessary, the application of international, regional, national or local rules relating to pleasure craft activities and prevention of pollution; to establish a common framework that could assist the Mediterranean coastal States in implementing applicable international regulations and streamlining their regulations.
</t>
    </r>
  </si>
  <si>
    <r>
      <rPr>
        <sz val="12"/>
        <color rgb="FF000000"/>
        <rFont val="Calibri"/>
        <family val="2"/>
      </rPr>
      <t>Under review:</t>
    </r>
    <r>
      <rPr>
        <i/>
        <sz val="12"/>
        <color rgb="FF000000"/>
        <rFont val="Calibri"/>
        <family val="2"/>
      </rPr>
      <t xml:space="preserve"> This document is intended to provide guidance for a harmonised approach to ballast water sampling procedures, identifying best practice according to the different standards, D-1 and D-2 for ascertaining the compliance with the Ballast Water Convention</t>
    </r>
  </si>
  <si>
    <t>Technical Assistance to apply this guidelines as a Regulation with legal power (Order by Minister of Infrastructure and Energy)</t>
  </si>
  <si>
    <r>
      <rPr>
        <sz val="12"/>
        <color rgb="FF000000"/>
        <rFont val="Calibri"/>
        <family val="2"/>
      </rPr>
      <t xml:space="preserve">Under review: </t>
    </r>
    <r>
      <rPr>
        <i/>
        <sz val="12"/>
        <color rgb="FF000000"/>
        <rFont val="Calibri"/>
        <family val="2"/>
      </rPr>
      <t>These guidelines apply to sediment reception facilities referred to in the International Convention for the Control and Management of Ships’ Ballast Water and Sediments (the Convention), Article 5 and Regulation B-5.</t>
    </r>
  </si>
  <si>
    <r>
      <rPr>
        <sz val="12"/>
        <color rgb="FF000000"/>
        <rFont val="Calibri"/>
        <family val="2"/>
      </rPr>
      <t xml:space="preserve">Under review: </t>
    </r>
    <r>
      <rPr>
        <i/>
        <sz val="12"/>
        <color rgb="FF000000"/>
        <rFont val="Calibri"/>
        <family val="2"/>
      </rPr>
      <t>These Guidelines provide general recommendations for ballast water sampling by port State control authorities. Guidance on sampling procedures for use by Parties in assessing compliance with regulations D-1 or D-2 is given in the annex to these Guidelines.</t>
    </r>
  </si>
  <si>
    <t>Technical Assistance to apply this guidelines as Regulations with legal power (Order by Minister of Infrastructure and Energy); To be considered along with action 5.12.1d.</t>
  </si>
  <si>
    <r>
      <rPr>
        <sz val="12"/>
        <color rgb="FF000000"/>
        <rFont val="Calibri"/>
        <family val="2"/>
      </rPr>
      <t xml:space="preserve"> Under review: </t>
    </r>
    <r>
      <rPr>
        <i/>
        <sz val="12"/>
        <color rgb="FF000000"/>
        <rFont val="Calibri"/>
        <family val="2"/>
      </rPr>
      <t>Administrations shall take these Guidelines into account in determining whether ships satisfy the requirements of Regulation A-5, Equivalent compliance of the BWM, 2004. Ships subject to these Guidelines should comply with the Convention, and if not, shall achieve equivalent compliance in accordance with Regulation A-5 and these Guidelines</t>
    </r>
    <r>
      <rPr>
        <sz val="12"/>
        <color rgb="FF000000"/>
        <rFont val="Calibri"/>
        <family val="2"/>
      </rPr>
      <t>.</t>
    </r>
  </si>
  <si>
    <t>● Guidelines for Ballast Water Management and Development of Ballast Water Management Plans (G4) (MEPC.127(53));</t>
  </si>
  <si>
    <r>
      <rPr>
        <sz val="12"/>
        <color rgb="FF000000"/>
        <rFont val="Calibri"/>
        <family val="2"/>
      </rPr>
      <t xml:space="preserve">Under review: </t>
    </r>
    <r>
      <rPr>
        <i/>
        <sz val="12"/>
        <color rgb="FF000000"/>
        <rFont val="Calibri"/>
        <family val="2"/>
      </rPr>
      <t xml:space="preserve">The objectives of these Guidelines are to assist Governments, appropriate authorities, ships masters, operators and owners, and port authorities, as well as other interested parties, in preventing, minimizing and ultimately eliminating the risk of introducing harmful aquatic organisms and pathogens from ships' ballast water and associated sediments;  </t>
    </r>
  </si>
  <si>
    <t xml:space="preserve">Technical Assistance to apply this guidelines as Regulations with legal power (Order by Minister of Infrastructure and Energy); </t>
  </si>
  <si>
    <t>Under review;</t>
  </si>
  <si>
    <t>To draft an integrated Regulation, taking into account all the guidelines  for the implementation of the AFS Convention;</t>
  </si>
  <si>
    <t xml:space="preserve">Technical Assistance to apply this guidelines as Regulation with legal power (Order by Minister of Infrastructure and Energy); </t>
  </si>
  <si>
    <t>GEF Adriatic project developed a GIS application and info web system that enables the storing, assessing and reporting of data collected during national marine monitoring in Albania and Montenegro;</t>
  </si>
  <si>
    <t>The system in both countries is fully based on IMAP Info standards, enabling easy reporting to the IMAP INFO system.</t>
  </si>
  <si>
    <t>It should be considered with action 5.12.1r and action 5.12.1k;</t>
  </si>
  <si>
    <t>Training to addres the issues;</t>
  </si>
  <si>
    <t>Ballast Water Exemption Decision Support Tool- a joint regional tool to identify low risk routes for IMO Ballast Water MConvention exemptions (A-4)</t>
  </si>
  <si>
    <r>
      <rPr>
        <sz val="12"/>
        <color rgb="FF000000"/>
        <rFont val="Calibri"/>
        <family val="2"/>
      </rPr>
      <t>Under review:</t>
    </r>
    <r>
      <rPr>
        <i/>
        <sz val="12"/>
        <color rgb="FF000000"/>
        <rFont val="Calibri"/>
        <family val="2"/>
      </rPr>
      <t xml:space="preserve"> Should be considered along with actions 5.12.1.k; 5.12.1.r; 5.12.1.e; 5.12.1.q; 5.12.1.v;</t>
    </r>
  </si>
  <si>
    <t>It should be considered after drafting the Integral Regulations deriving from  BWM Convention and AFS Convention;</t>
  </si>
  <si>
    <t>Coastal Plan for Buna/Bojana - “MedPartnership” project by PAP/RAC, (GWP-Med) and  (UNESCO-IHP);   MedMPAnet Project - RAC/SPA - UNEP-MAP, 2015: Management Plan of “Porto-Palermo-Llamani Bay” Protected Area in Albania;</t>
  </si>
  <si>
    <t>Integrated Monitoring Programme - Albania, February 2021.
This study was prepared by PAP/RAC, SPA/RAC, UNEP/MAP and the Ministry of Tourism and Environment with the National Agency for Protected Areas of Albania within the GEF Adriatic Project and supported by the Global Environment Facility (GEF).</t>
  </si>
  <si>
    <t>The Mediterranean seminar on  (PSSA) organized by SPA/RAC, with REMPEC collaboration, 12 December 2019, Tirane, Albania;</t>
  </si>
  <si>
    <t xml:space="preserve">Webinar on national oil spill preparedness and response in environmently sensitive areas; organized by UNEP, on 24 May, 2022;  </t>
  </si>
  <si>
    <t>SPA/RAC is already implementing 4 projects in Albania: one funded by GEF and three implemented by IMELS (Italian Ministry of Environment, Land and Sea), related to the respectively to IMAP, MSP, SPAMIs and PSSA issues.</t>
  </si>
  <si>
    <t>It should be coordinated with MIE, GMD;</t>
  </si>
  <si>
    <t>National or regional workshop to ensure coordination with the relevant national competent authorities to achieve a well-managed safe and pollution free Mediterranean, with integrated marine spatial planning and designation of special areas, where shipping activity has a limited impact upon the marine environment;</t>
  </si>
  <si>
    <t>It should be considered with action 6.4.1a;</t>
  </si>
  <si>
    <t>It should be considered with action 6.12.1.a, action 6.12.1.b, 6.15.1;</t>
  </si>
  <si>
    <t>The following step need to be taken: a) a coordinated agreement among all the Adriatic countries should be concluded b) the values that the area has should be clearly identified and demonstrated; c) the data on accidents and incidents should be collected and compiled and the possible risks and effects that maritime transport can pose to this area(s) should be assessed</t>
  </si>
  <si>
    <t>Training on the assessing the feasibility of the designation of certain areas the Mediterranean, as PSSA, and to submit the related proposals to IMO, as appropriate;</t>
  </si>
  <si>
    <t>Two options as possible areas suitable for PSSA designation (i) designation of parts of the Adriatic sea as PSSAs, namely Mezokanal in the Sazani strait for Albania; Boka Bay near Kotor for Montenegro and Pomo pit for Croatia; (ii) designation of the whole Adriatic sea as a PSSA with specific Associated Protection Measures (APM) for specific areas;</t>
  </si>
  <si>
    <t xml:space="preserve">It should be considered with action 6.12.1.c; </t>
  </si>
  <si>
    <t>National workshop to increase awareness of the stakeholders involved to address that issue;</t>
  </si>
  <si>
    <t>See National Contigency Plan NCP, Annex 24;</t>
  </si>
  <si>
    <t>Technical Assistance to complete the Annex 24 of NCP;</t>
  </si>
  <si>
    <t xml:space="preserve">Agreement on the Conservation of Cetaceans of the Black Sea,
Mediterranean Sea and contiguous Atlantic Area: </t>
  </si>
  <si>
    <t>It should be considered with actions 6.12.1a, 6.12.1b, 6.12.1c, 6.12.1d;</t>
  </si>
  <si>
    <t>Law no. 81/2017, "On protected areas"; DCM No. 369, dated 29.5.2019, “On the Approval of the Rules for Declaration of Special Protected  Areas”;</t>
  </si>
  <si>
    <t>Law No. 81/2017 "For Protected Areas", Article 67</t>
  </si>
  <si>
    <t>To set-up an effective compliance programme incorporating all of the following elements:
a)        Compliance monitoring through routine inspections, surveys, and/or examinations;
b)        Detection and policing “patrols“;
c)        Reporting procedures and incentives, including incentives for self-reporting;
d)        Adequate investigations of violations reported or otherwise detected;
e)        A system of adequate sanctions in respect of violations;
f)        Education and public awareness programmes; and
g)        Co-operation and co-ordination with other States parties.</t>
  </si>
  <si>
    <t>It should be considered with completion of all required actions related to relevat elements of the action 6.7.2 - a), b), c), d), e), f), g);</t>
  </si>
  <si>
    <t>Training with all stakeholders involved to addres the issues;</t>
  </si>
  <si>
    <t>The feasibility study phase has been completed and the tendering procedures for the implementation of the system will be continued very soon.</t>
  </si>
  <si>
    <t xml:space="preserve">4 Port VTS, 1 Coastal VTS; 1st phase the system will function as INS (Information Navigation Service); In other phases the system will function as  TOS (Traffic Organisation
Service) and NAS (Navigation Assistance
Service). </t>
  </si>
  <si>
    <t>National AIS, through the technical assistance of EMSA, will be in place during 2022.</t>
  </si>
  <si>
    <t>National workshop to increase awareness of the stakeholders involved to address that issue</t>
  </si>
  <si>
    <t>Training with representatives from different field of industry, involved in the maritime issues, te address that issue;</t>
  </si>
  <si>
    <t>It should be considered with action 6.12.1.a, action 6.12.1.b;</t>
  </si>
  <si>
    <t xml:space="preserve"> a)The IMO Sub-Committee on Ship Design and Construction (SDC); b) REMPEC, to provide technical support to raise awareness on the reduction of underwater noise from commercial shipping to address adverse impact on marine life.</t>
  </si>
  <si>
    <t>Training with involved stakeholders to address issues;</t>
  </si>
  <si>
    <t xml:space="preserve">  </t>
  </si>
  <si>
    <t>Reduction of underwater noise from commercial shipping to address adverse impact on marine life.</t>
  </si>
  <si>
    <t>National, regional or international workshop with participation of the involved stakeholders,  to be provided with technical support to raise awareness on the reduction of underwater noise from commercial shipping to address adverse impact on marine life.</t>
  </si>
  <si>
    <t>To participate at the Meeting of the Mediterranean Strategy (2022-2031) to address the issues;</t>
  </si>
  <si>
    <t>It's a new emerging issue related to pollution from ships in the Mediterranean;</t>
  </si>
  <si>
    <t>To participate in regional or international fora, to address the issues;</t>
  </si>
  <si>
    <t>Department of Strategic Planning, Protection and Rescue Measures, Ministry of Security of Bosnia and Herzegovina (MS)</t>
  </si>
  <si>
    <t>Strengthening capacities in legal and technical fields of the Dept. of Air, Water and Pipeline Transport (MCT) is essential for successful implementatio of the Med. Strategy 2022-2031 in the fields of prevention, preparedness and response.</t>
  </si>
  <si>
    <t>Department for Environmental Protection, Ministry of Foreign Trade and Economic Relations of Bosnia and Herzegovina (MFTER)</t>
  </si>
  <si>
    <t>Decision on nomination of designated officials/ REMPEC FPs to be reviewed, as part of the implementation of NCP.</t>
  </si>
  <si>
    <t>Training required to explain the goals of the network.</t>
  </si>
  <si>
    <t>An introductory (2 days) workshop explaining objectives, roles and functioning of different Med. networks, working groups and initiatives, as well as databases and decision support tools developed by REMPEC.</t>
  </si>
  <si>
    <t>Training required to explain the goals of MTWG.</t>
  </si>
  <si>
    <t>Idem.</t>
  </si>
  <si>
    <t xml:space="preserve">Department of Air, Water and Pipeline Transport, Ministry of Communications and Transport of Bosnia and Herzegovina (MCT)
</t>
  </si>
  <si>
    <t>Responsible authority to be designated</t>
  </si>
  <si>
    <t>Training required to explain the goals of CleanSeaNet service (as part of general workshop on the role of EMSA and services offered by EMSA).</t>
  </si>
  <si>
    <t>An introductory (2 days) workshop explaining objectives, roles and functioning of EMSA and various services that EMSA offers.</t>
  </si>
  <si>
    <t>VTS not implemented in waters under BIH jurisdiction. Training required to explain EWG goals.</t>
  </si>
  <si>
    <t xml:space="preserve">Depending on the approval of the 2021 Draft NCP, accession of BIH to MARPOL and its participation in the above networks (as a minimum). </t>
  </si>
  <si>
    <t>2025</t>
  </si>
  <si>
    <t>After the criteria outlined in column K are met.</t>
  </si>
  <si>
    <t xml:space="preserve">Strengthening capacities in legal and technical fields of the Dept. of Air, Water and Pipeline Transport (MCT) is essential for successul implementation of Activities related to CSO 1.   </t>
  </si>
  <si>
    <t xml:space="preserve">There is a general need for increasing the level of expertise/ knowledge related to marine pollution preparedness and response at institutional level in BIH. </t>
  </si>
  <si>
    <t>Training should start prior to the approval of 2021 Draft NCP.</t>
  </si>
  <si>
    <t>2023-2025</t>
  </si>
  <si>
    <t>Training needs identified during the proces development of 2021 Draft NCP.</t>
  </si>
  <si>
    <t xml:space="preserve">Programme of training prepared/suggested as part of the development of 2021 Draft NCP. </t>
  </si>
  <si>
    <t>tbc</t>
  </si>
  <si>
    <t>Idem</t>
  </si>
  <si>
    <t xml:space="preserve">HNS training to start after a series of oil spill related courses, if and when determined that in BIH sea and coastal area there is a risk of chemical pollution. </t>
  </si>
  <si>
    <t>Training should start prior to the approval of 2021 Draft NC</t>
  </si>
  <si>
    <t>To be combined with similar POSOW Model Course.</t>
  </si>
  <si>
    <t xml:space="preserve">To be incorporated into other realated training activities. </t>
  </si>
  <si>
    <t>2024-2026</t>
  </si>
  <si>
    <t>idem.</t>
  </si>
  <si>
    <t>To be considered only if confirmed that there is a need for it (NB. maritime area of BIH is only some 14 sq km).  Joint training could be considered with neighbouring Croatia.</t>
  </si>
  <si>
    <t>Depending on the accession to MARPOL.</t>
  </si>
  <si>
    <t xml:space="preserve">In BIH there is a need to increase the level of knowledge/ expertise related to IMO activities on prevention of marine pollution. </t>
  </si>
  <si>
    <t>At present there are no commercial seaports in BIH.</t>
  </si>
  <si>
    <t>Basic training required on the obligations of BIH as Flag State, Port State and Coastal State should be considered as a priority, as As part of general capacity building in the field of maritime law.</t>
  </si>
  <si>
    <t xml:space="preserve">Strengthening capacities in legal and technical fields of the Dept. of Air, Water and Pipeline Transport (MCT) is essential for successful implementation of Activities related to CSO 1 (cf. general note in Column P, Action 1.1.1). </t>
  </si>
  <si>
    <t>At present BIH is not a Flag State.</t>
  </si>
  <si>
    <t>Idem. Can be combined with Activity 1.2.1g.</t>
  </si>
  <si>
    <t>Only if officially confirmed that there is wildlife that may be affected by pollution in sea/coastal area of BIH.</t>
  </si>
  <si>
    <t xml:space="preserve">In particular, those addressing recreational sailing and fishing. </t>
  </si>
  <si>
    <t xml:space="preserve">MTC to coordinate attendance with other relevant Ministries/Depts i.e. different National FPs. </t>
  </si>
  <si>
    <t>After setting up a core group of marine oil pollution response personnel.</t>
  </si>
  <si>
    <t xml:space="preserve">Only if and when confirmed that there is a risk of chemical pollution at sea in waters under BIH jurisdiction. </t>
  </si>
  <si>
    <t>There is a need for general introductory (tailor made) training on various services offered by EMSA.</t>
  </si>
  <si>
    <t>cf. Activity 1.1.1c.</t>
  </si>
  <si>
    <t>A possibility to organize a general training on various services offered by EMSA (to be confirmed by EMSA).</t>
  </si>
  <si>
    <t>Department of Air, Water and Pipeline Transport, Ministry of Communications and Transport of Bosnia and Herzegovina (MCT)</t>
  </si>
  <si>
    <t>Envisaged within the context of NCP implementation. Pending approval of 2021 Draft NCP.</t>
  </si>
  <si>
    <t>2023-2024</t>
  </si>
  <si>
    <t>Technical assistance required in preparing the scenario/ programme of the exercise.</t>
  </si>
  <si>
    <t>In addition to the cost of staff time of REMPEC and BIH institutions.</t>
  </si>
  <si>
    <t>Planned within the context of NCP implementation. Pending approval of 2021 Draft NCP.</t>
  </si>
  <si>
    <t>nil (no direct costs)</t>
  </si>
  <si>
    <t>The cost of REMPEC and BIH staff salaries (time).</t>
  </si>
  <si>
    <t>Close cooperation required between MS, MCT and MFTER.</t>
  </si>
  <si>
    <t>Pending the approval of the NCP and the development of the Adriatic SCP</t>
  </si>
  <si>
    <t>2025, 2027, 2029, 2031</t>
  </si>
  <si>
    <t>Financial support for participation (as observer) in drills/ exercises organized by other countries.</t>
  </si>
  <si>
    <t>Joint exercise with e.g. Croatia, Montenegro and Italy to be considered as a priority.</t>
  </si>
  <si>
    <t>2026, 2029</t>
  </si>
  <si>
    <t>Technical assistance is required to prepare the scenario/ programme of the exercise, as well as its financing.</t>
  </si>
  <si>
    <t>Technical advice on integration of lessons learned.</t>
  </si>
  <si>
    <t>Depending on the developments in the Adriatic region.</t>
  </si>
  <si>
    <t>Taking into consideration that the maritime area of BIH is only some 14 sq km, it should be planned in colaboration with neighbouring Croatia.</t>
  </si>
  <si>
    <t>Only traffic of smaller recreational and fishing vessels exists in waters under BIH jurisdiction</t>
  </si>
  <si>
    <t>Pending on accession to MARPOL. Only traffic of smaller recreational and fishing vessels exists in waters under BIH jurisdiction</t>
  </si>
  <si>
    <t xml:space="preserve">Technical and legal capacities of the Dept. of Air, Water and Pipeline Transport (MCT) need to be strengthened in order to implement the Med. Strategy 2022-2031.   </t>
  </si>
  <si>
    <t>Idem. The cost of BIH staff salaries (time).</t>
  </si>
  <si>
    <t>No commercial seaports in BIH. Only traffic of smaller recreational and fishing vessels exists in waters under BIH jurisdiction</t>
  </si>
  <si>
    <t>Pending accession to MARPOL (cf. Action 1.5.1b)</t>
  </si>
  <si>
    <t>Technical and legal capacities of the the relevant Depts. of both MS and MCT need to be strengthened in order to implement the Med. Strategy 2022-2031.</t>
  </si>
  <si>
    <t>Pending a formal approval of the 2021 Draft NCP.</t>
  </si>
  <si>
    <t xml:space="preserve">A proper setting up of the BIH national system also requires technical support and investment. </t>
  </si>
  <si>
    <t>Formal approval of 2021 Draft NCP considered as the main prerequisite.</t>
  </si>
  <si>
    <t>The 2021 Draft NCP currently pending approval (expected in 2023, as indicated in the next column).</t>
  </si>
  <si>
    <t>Various levels of training (cf. Action 1.2.1-1.2.3) required prior to updating the NCP.</t>
  </si>
  <si>
    <t>Hydro-Engineering Institute Sarajevo (HEIS)</t>
  </si>
  <si>
    <t>The Adriatic SCP expected to be developed and approved by 2024. 2021 Draft NCP to be adopted prior to joining the SCP.</t>
  </si>
  <si>
    <t>2026</t>
  </si>
  <si>
    <t>Diferrent levels of training required for active participation in Adriatic SCP.</t>
  </si>
  <si>
    <t>HEIS as the current REMPEC OPRC FP, in collaboration with MS and MFTER.</t>
  </si>
  <si>
    <t>Depending on the development and approval of the Adriatic SCP.</t>
  </si>
  <si>
    <t xml:space="preserve">Necessary to actively participate in creating SCP network. </t>
  </si>
  <si>
    <t>In collaboration between MS, HEIS as the current REMPEC OPRC FP, and MFTER.</t>
  </si>
  <si>
    <t>Depending on the approval of the Adriatic SCP and the position of other participating countries.</t>
  </si>
  <si>
    <t xml:space="preserve">External technical and legal expertise, as well as investment also required for addressing prevention. </t>
  </si>
  <si>
    <t>In collaboration with MS, HEIS as the current REMPEC OPRC FP, and MFTER.</t>
  </si>
  <si>
    <t>Depending on the developments in the Med. Region</t>
  </si>
  <si>
    <t>Legal expert advice required to formulate national requirements for participation in such a fund.</t>
  </si>
  <si>
    <t>In collaboration with MCT, HEIS as the current REMPEC OPRC FP, and MS.</t>
  </si>
  <si>
    <t xml:space="preserve">Pending decision on ratification </t>
  </si>
  <si>
    <t>External legal expert advice might be considered.</t>
  </si>
  <si>
    <t>In close collaboration with MS, HEIS as the current REMPEC Gov. And OPRC FP, and MCT.</t>
  </si>
  <si>
    <t>BIH expected to accede MARPOL by succession</t>
  </si>
  <si>
    <t>Increasing the capacity of MCT in the field of int. maritime law.</t>
  </si>
  <si>
    <t>In close collaboration between MCT and MFTER. Acession to Annexes V and VI also to be considered.</t>
  </si>
  <si>
    <t xml:space="preserve">In close collaboration between MCT and MFTER. </t>
  </si>
  <si>
    <t>2028</t>
  </si>
  <si>
    <t xml:space="preserve">An intensive training session to be organized in cooperation with REMPEC and IOPC Funds, and in close collaboration between MCT and MFTER. </t>
  </si>
  <si>
    <t>2029</t>
  </si>
  <si>
    <t>2030</t>
  </si>
  <si>
    <t xml:space="preserve">Pending the strengthening of the capacities of the Dept. of Air, Water and Pipeline Transport within MCT. </t>
  </si>
  <si>
    <t>Basic training on IMSAS.</t>
  </si>
  <si>
    <t xml:space="preserve">Pending the strengthening of the capacities of the Dept. of Air, Water and Pipeline Transport within MCT </t>
  </si>
  <si>
    <t>2027</t>
  </si>
  <si>
    <t>External legal expert advice required, together with increased capacity of MCT in the field of int. maritime law.</t>
  </si>
  <si>
    <t>Possible cooperation with/assistance from the maritime authorities of neighbouring Croatia to be examined.</t>
  </si>
  <si>
    <t xml:space="preserve">Also requires capacity building in legal and technical fields of the Dept. of Air, Water and Pipeline Transport (MCT).   </t>
  </si>
  <si>
    <t>Also requires capacity building in legal and technical fields of the Dept. of Air, Water and Pipeline Transport (MCT).</t>
  </si>
  <si>
    <t>The only seaport in BIH receives only small recreational and fishing boats. There is no traffic of merchant ships.</t>
  </si>
  <si>
    <t>External legal expert advice required for drafting regulations/ procedures for collection of oily wastes from recreational and fishing vessels.</t>
  </si>
  <si>
    <t>Related to the provision of small reception facilities for oily waters/wastes from recreational and fishing vessels.</t>
  </si>
  <si>
    <t>Availability of external funds to be examined (MFTER)..</t>
  </si>
  <si>
    <t xml:space="preserve">There is no traffic of vessels carrying NLS: the only seaport in BIH receives only small recreational and fishing boats. </t>
  </si>
  <si>
    <t xml:space="preserve">Not a priority: no liqud HNS handled in the only BIH seaport. </t>
  </si>
  <si>
    <t>There is no traffic of vessels carrying NLS: the only seaport in BIH receives only small recreational and fishing boats.</t>
  </si>
  <si>
    <t>There is no traffic of merchant ships: the only port in BIH receives only small recreational and fishing boats.</t>
  </si>
  <si>
    <t>External legal expert advice required for drafting regulations/ procedures for collection of sewage from recreational and fishing vessels.</t>
  </si>
  <si>
    <t>Related to the provision of small reception facilities for sewage from recreational and fishing vessels.</t>
  </si>
  <si>
    <t>Availability of external funds to be examined (MFTER).</t>
  </si>
  <si>
    <t>Detailed assessment pending approval of the NCP.</t>
  </si>
  <si>
    <t>External technical expert advice required for the detailed assessment of required oil spill response capacities.</t>
  </si>
  <si>
    <t xml:space="preserve">Assessment of basic response equipment required.  </t>
  </si>
  <si>
    <t xml:space="preserve">Preliminary activities concerning procurement of minimum basic equipment started in 2022. </t>
  </si>
  <si>
    <t>MFTER already in contact with potential donor countries.</t>
  </si>
  <si>
    <t>A rough estimate. MFTER to examine availability of external funds.</t>
  </si>
  <si>
    <t xml:space="preserve">No traffic of HNS in waters under BIH jurisdiction. </t>
  </si>
  <si>
    <t>Must be assessed in coordination with the (chemical) industry within the country.</t>
  </si>
  <si>
    <t>If determined that there is a need for HNS resonse capacities (MS). BIH authorities staff salaries (time).</t>
  </si>
  <si>
    <t>Depending on the acquisition by BIH of dedicated spill response equipment.</t>
  </si>
  <si>
    <t>Making provisions in relevant legal docs to enable participation in regional mutual assistance agreements (cf. Actions 1.5.1a and 1.5.1c).</t>
  </si>
  <si>
    <t>In close collaboration with MFTER, HEIS as the current REMPEC OPRC FP, and MCT.</t>
  </si>
  <si>
    <t>Depending on the acquisition of the national equipment stockpile and the development of the Adriatic SCP.</t>
  </si>
  <si>
    <t xml:space="preserve">Acession to 2002 Prevention and Emergency Protocol. 2021 Draft NCP envisages mutual assistance in case of emergency. </t>
  </si>
  <si>
    <t>In close collaboration with MS, HEIS as the current REMPEC OPRC FP, and MCT.</t>
  </si>
  <si>
    <t>Could start following Adriaspillcon 2023 conference.</t>
  </si>
  <si>
    <t>2024</t>
  </si>
  <si>
    <t>A seminar aimed at explaining EMSA pollution response services (possibly combined with another spill response training activity).</t>
  </si>
  <si>
    <t>In close collaboration with MFTER, HEIS as the current REMPEC Gov. and OPRC FP, and MS.</t>
  </si>
  <si>
    <t>Not a priority due to a very limited size of BIH territorial sea and coastal area and the lack of commercial shipping in waters under BIH jurisdiction.</t>
  </si>
  <si>
    <t>To be combined with other types of training.</t>
  </si>
  <si>
    <t>In close collaboration with HEIS as the current REMPEC Gov. and OPRC FP, MFTER and MCT.</t>
  </si>
  <si>
    <t>To consider a possiblity of access to CleanSeaNet through an agreement with Croatia.</t>
  </si>
  <si>
    <t>Introductory training can be combined with a training activity aimed at explaining EMSA poll. resp. services (cf. Action 1.10.3).</t>
  </si>
  <si>
    <t>In close collaboration with HEIS as the current REMPEC Gov. and OPRC FP, MFTER, MS and MCT.</t>
  </si>
  <si>
    <t>No traffic of merchant ships in waters under BIH jurisdiction.</t>
  </si>
  <si>
    <t xml:space="preserve">No merchant ships traffic in waters under BIH jurisdiction. </t>
  </si>
  <si>
    <t>Basis for participation in such a system exists in the 2021 Draft NCP.</t>
  </si>
  <si>
    <t>(Sub)regional training on common emergency communication.</t>
  </si>
  <si>
    <t>Depending on developments within MTWG.</t>
  </si>
  <si>
    <t>Consultations required between MS and the BIH representative in MTWG.</t>
  </si>
  <si>
    <t>To be considered following the formal approval of the NCP.</t>
  </si>
  <si>
    <t xml:space="preserve">Consultations between MFTER, Ministry of Foreign Affairs and HEIS (as REMPEC Gov. Focal Point). External tech. expert advice likely to be required for the preparation of guidelines. </t>
  </si>
  <si>
    <t>Possible cooperation with/assistance from the competent authorities of the neighbouring Croatia to be examined.</t>
  </si>
  <si>
    <t>HEIS, as Gov./OPRC FP to ensure dissemination to all relevant institutions, prior to the formal approval of the 2021 Draft NCP.</t>
  </si>
  <si>
    <t xml:space="preserve">To start following apropriate training in spill response. A proposal for different levels and types of training was prepared by REMPEC as part of the assistance in the development of the 2021 Draft NCP: </t>
  </si>
  <si>
    <t>In close collaboration between HEIS as the current REMPEC Gov. and OPRC FP, MS, MFTER and MCT.</t>
  </si>
  <si>
    <t>Idem (cf. Action 1.12.3a above).</t>
  </si>
  <si>
    <t>Idem (cf. Action 1.12.3a above, column N). NOTE: 2021 Draft NCP discourages the use of dispersants.</t>
  </si>
  <si>
    <t>Idem (cf. Action 1.12.3a above, column N).</t>
  </si>
  <si>
    <t>Idem (cf. Action 1.12.3a above, column N). NOTE: No traffic of HNS in waters under BIH jurisdiction.</t>
  </si>
  <si>
    <t>nil</t>
  </si>
  <si>
    <t>Idem (cf. Action 1.12.3a above, column N). NOTE: No significant currents in waters under BIH jurisdiction.</t>
  </si>
  <si>
    <t>Idem (cf. Action 1.12.3a above, column N). NOTE: No merchant ships registered under BIH flag.</t>
  </si>
  <si>
    <t>NOTE: N/A in BIH.</t>
  </si>
  <si>
    <t>cf. Action 1.12.3a above.</t>
  </si>
  <si>
    <t>Idem (cf. Action 1.12.3a above, column N). NOTE: To start simultaneously with ratification of these instruments.</t>
  </si>
  <si>
    <t>To be considered as made available</t>
  </si>
  <si>
    <t xml:space="preserve">Will be considered on case-to-to case basis, taking into account specificities of situation in BIH (e.g. no seaports opened to merchant shipping, no BIH registered merchant fleet, no shipping lanes in/near waters under BIH jurisdiction). </t>
  </si>
  <si>
    <t xml:space="preserve">Training required on purpose, use and maintenance of any of listed technical and decision support tools. </t>
  </si>
  <si>
    <t>The cost of BIH staff salaries (time). As regards necessary training see Actions 1.1.1a and 1.1.1.c.</t>
  </si>
  <si>
    <t>(c.f. Action 1.13.1a, above)</t>
  </si>
  <si>
    <t>Following to familiarization (of personnel of relevant BIH authorities and institutions) with the existing technical and decision support tools.</t>
  </si>
  <si>
    <t xml:space="preserve">The cost of BIH staff salaries (time). </t>
  </si>
  <si>
    <t>To be implemented in colaboration between HEIS (REMPEC FP) and INFO/RAC FP (unknown to the Consultant)</t>
  </si>
  <si>
    <t xml:space="preserve">1 nat. Consultant, 1 update/year + the cost of BIH staff salaries (time). </t>
  </si>
  <si>
    <t>Depending on the requirements.</t>
  </si>
  <si>
    <t>Training of operators on the use of each decision support tool.</t>
  </si>
  <si>
    <t xml:space="preserve">As part of general training on preparedness and response. (cf. Action 1.2.1) </t>
  </si>
  <si>
    <t>Pending the strengthening of the capacities of the Dept. of Air, Water and Pipeline Transport within MCT.</t>
  </si>
  <si>
    <t>Pending the strengthening of capacities of the Dept. of Air, Water and Pipeline Transport within MCT.</t>
  </si>
  <si>
    <t>The cost of BIH staff salaries (time). Reporting to start after accession of BIH to MARPOL.</t>
  </si>
  <si>
    <t>The cost of BIH staff salaries (time). Reporting to start after accession of BIH to MARPOL. NOTE: no ships/tankers registered under BIH Flag.</t>
  </si>
  <si>
    <t>Pending the strengthening of capacities of the Dept. of Air, Water and Pipeline Transport within MCT. No ships registered under BIH flag. No commercial ports in BIH.</t>
  </si>
  <si>
    <t>National Contact Points to be nominated following the accession of BIH to the relevant International Conv.</t>
  </si>
  <si>
    <t>The cost of BIH staff salaries (time).</t>
  </si>
  <si>
    <t>Pending the strengthening of capacities of the Dept. of Air, Water and Pipeline Transport within MCT. No seaports in BIH opened to commercial traffic.</t>
  </si>
  <si>
    <t>The cost of BIH staff salaries (time). To be considered following the accession of BIH to MARPOL.</t>
  </si>
  <si>
    <t>Pending the formal approval of 2021 Draft NCP, procurement of spill response equipment and strengthening of capacities of relevant state institutions (MS, MCT, MFTER).</t>
  </si>
  <si>
    <t>Following the formal approval of 2021 draft NCP, procurement of basic spill response equipment and completion of basic personnel training.</t>
  </si>
  <si>
    <t>Pending the procurement of basic spill response equipment. Decision on nomination of designated officials/ REMPEC FPs to be reviewed, as part of the implementation of NCP.</t>
  </si>
  <si>
    <t>Training in operating and maintaning MEDGIS-MAR at national level is required, as part of general training (cf. Action 1.1.1a).</t>
  </si>
  <si>
    <t>Pending the strengthening of capacities of relevant state institutions (MS, MCT, MFTER). Decision on nomination of designated officials/ REMPEC FPs to be reviewed, as part of the implementation of NCP.</t>
  </si>
  <si>
    <t>Training aimed at strengthening the capacities of relevant state institutions (MS, MCT, MFTER). (cf. Action 1.1.1a)</t>
  </si>
  <si>
    <t>No merchant ships registered under BIH flag.</t>
  </si>
  <si>
    <t>If a decision is taken to establish a merchant fleet under BIH flag.</t>
  </si>
  <si>
    <t>In addition to the cost of staff salaries (time) of BIH institutions. Includes possible travel and DSA for the entire period.</t>
  </si>
  <si>
    <t>Estimated cost of national 3 days (online) training on MARPOL Annex VI implementation. Does not include BIH staff salaries (time).</t>
  </si>
  <si>
    <t xml:space="preserve">No merchant ships registered under BIH flag. BIH didn't accede MARPOL Annex VI. </t>
  </si>
  <si>
    <t>Following a decision to accede to MARPOL Annex VI is taken. Legal advice might also be required.</t>
  </si>
  <si>
    <t>The cost of training included in the sum indicated under Action 2.2.1a.</t>
  </si>
  <si>
    <t>No merchant ships registered under BIH flag. No commercial seaports in BIH.</t>
  </si>
  <si>
    <t>Developing such strategy would be required only if BIH Council of Ministers decides to establish a merchant fleet under BIH flag.</t>
  </si>
  <si>
    <t>No commercial seaports in BIH. Only traffic of smaller recreational and fishing boats exists in waters under BIH jurisdiction</t>
  </si>
  <si>
    <t xml:space="preserve">If necessary, training related to emissions from recreational and fishing boats only. </t>
  </si>
  <si>
    <t>No commercial seaports in BIH.</t>
  </si>
  <si>
    <t>Strategy could address only reduction of emissions from small recreational/fishing boats.</t>
  </si>
  <si>
    <t>N/A in BIH. (No international shipping in or near waters under BIH jurisdiction.)</t>
  </si>
  <si>
    <t>N/A in BIH.</t>
  </si>
  <si>
    <t>BIH doesn't have a merchant marine: no merchant ships registered under BIH flag.  No commercial sea ports in BIH.</t>
  </si>
  <si>
    <t xml:space="preserve">N/A in BIH.  </t>
  </si>
  <si>
    <t xml:space="preserve">N/A in BIH. </t>
  </si>
  <si>
    <t>Adding speciffically "Maritime Affairs" to the responsibilities of the Dept. of Air, Water and Pipeline Transport (MCT) to be considered, including the responsibility  for International Conventions.</t>
  </si>
  <si>
    <t xml:space="preserve">In addition to training, a Dept. in charge of maritime affairs needs to be complemented with additional legal and technical experts.  </t>
  </si>
  <si>
    <t xml:space="preserve">Strengthening capacities in legal and technical fields of the Dept. of Air, Water and Pipeline Transport (MCT) is essential for successful implementation of Activities related to CSO 2 (cf. general note in Column P, Action 1.1.1). </t>
  </si>
  <si>
    <t>N/A in BIH: not Party to MARPOL Annex VI.</t>
  </si>
  <si>
    <t>Although at present there are no merchant ships registered under BIH flag and no commercial sea ports in BIH, BIH might wish to accede to MARPOL Annex VI. Decision to be taken jointly by MCT and MFTER (and confirmed by the Council of Ministers).</t>
  </si>
  <si>
    <t>Personal (legal and technical) capacities of the Dept. of Air, Water and Pipeline Transport within MCT need to be strengthened prior to considering undertaking IMSAS.</t>
  </si>
  <si>
    <t xml:space="preserve">Training on conducting IMSAS and implementing corrective measures. </t>
  </si>
  <si>
    <t>cf. Action 1.6.1.</t>
  </si>
  <si>
    <t>If the decision to accede to MARPOL Annex VI is taken. (cf. note in column P, Action 2.5.1)</t>
  </si>
  <si>
    <t xml:space="preserve">N/A in BIH: not Party to MARPOL Annex VI, and no ships of 400 GT and above registered in BIH or entering waters under BIH jurisdiction. (TO BE VERIFIED). </t>
  </si>
  <si>
    <t>If and when decision to accede to MARPOL Annex VI is taken, legal expert advice will be needed to complete this Action.</t>
  </si>
  <si>
    <t>Possible cooperation with/ assistance from the neighbouring Croatia to be considered.</t>
  </si>
  <si>
    <t>N/A in BIH: not Party to MARPOL Annex VI, no commercial seaports in BIH.</t>
  </si>
  <si>
    <t>N/A in BIH: not Party to MARPOL Annex VI, no commerciaal shipping in or near waters under BIH jurisdiction.</t>
  </si>
  <si>
    <t>To be considered after acceding to MARPOL Annex VI.</t>
  </si>
  <si>
    <t xml:space="preserve">N/A in BIH: no merchant ships registered under BIH flag, no commercial seaports in BIH. </t>
  </si>
  <si>
    <t xml:space="preserve">N/A in BIH: no maritime R&amp;D institutions in BIH. </t>
  </si>
  <si>
    <t>N/A in BIH: no maritime oriented scientific and technical institutions or industry in BIH.</t>
  </si>
  <si>
    <t>N/A in BIH: no merchant ships registered under BIH flag, no commercial seaports in BIH. BIH not Party to MARPOL Annex VI.</t>
  </si>
  <si>
    <t>MCT (as Prevention FP), in collaboration with MFTER and HEIS.</t>
  </si>
  <si>
    <t>External legal expert advice necessary to examine the feasibility of acceding to MARPOL Annex VI and national requirements for accession.</t>
  </si>
  <si>
    <t xml:space="preserve">Strengthening capacities in legal and technical fields of the Dept. of Air, Water and Pipeline Transport (MCT) is essential for successful implementation of Activities related to CSO 3 (cf. general note in Column P, Action 1.1.1). </t>
  </si>
  <si>
    <t>BIH not Party to MARPOL Annex VI.</t>
  </si>
  <si>
    <t>To be considered immediately after acceeding to MARPOL Annexes I, II, III and IV, jointly by MFTER, MCT (cf. Action 1..5.1b) and HEIS as Gov./OPRC FP. (cf. note in column P, Action 2.5.1)</t>
  </si>
  <si>
    <t>Personal, legal and technical, capacities of the Dept. of Air, Water and Pipeline Transport within MCT need to be strengthened prior to considering undertaking IMSAS.</t>
  </si>
  <si>
    <t>No ships registered under BIH flag, no commercial seaports in BIH.</t>
  </si>
  <si>
    <t>If accession to MARPOL Annex VI is feasible, additional expert advice is needed to examine national requirements for adhering to MARPOL Annex VI, taking into consideration that no ships are registered under BIH flag and BIH has no commercial seaports.</t>
  </si>
  <si>
    <t>Personal, legal and technical, capacities of the Dept. of Air, Water and Pipeline Transport within MCT need to be strengthened. (cf. note in columns K, N and P, Action 2.2.3)</t>
  </si>
  <si>
    <t>Additional legal expert advice needed to examine national requirements for prosecution of MARPOL Annex VI offenders, taking into consideration that no ships are registered under BIH flag and BIH has no commercial seaports.</t>
  </si>
  <si>
    <t>N/A in BIH: no commercial seaports in BIH.</t>
  </si>
  <si>
    <t>N/A in BIH: no commercial seaports in BIH and no bunkering facilities.</t>
  </si>
  <si>
    <t xml:space="preserve">N/A in BIH: very limited sea and coastal area, no commercial seaports, no international shipping. </t>
  </si>
  <si>
    <t>N/A in BIH: no commercial seaports in BIH, no international shipping.</t>
  </si>
  <si>
    <t>Possible cooperation with/assistance from the maritime authorities of neighbouring Croatia to be examined (prior to the introduction of VTS in BIH).</t>
  </si>
  <si>
    <t>N/A in BIH: BIH not Party to MARPOL Annex VI.</t>
  </si>
  <si>
    <t>2025-2006</t>
  </si>
  <si>
    <t>To be considered following the accession to MARPOL Annex VI.</t>
  </si>
  <si>
    <t>N/A in BIH: not Party to MARPOL Annex VI, no merchant ships registered under BIH flag, no commercial seaports in BIH, no international shipping in or near waters under BIH jurisdiction.</t>
  </si>
  <si>
    <t xml:space="preserve">N/A in BIH: no merchant ships registered under BIH flag, no commercial seaports in BIH, no international shipping in or near waters under BIH jurisdiction, BIH not Party to MARPOL Annex V. </t>
  </si>
  <si>
    <t>Prior to possible participation in plastic marine litter reduction initiatives, a basic training required in order to explain the objectives and functioning of the working groups/ initiatives. To be considered following accession to MARPOL Anex V.</t>
  </si>
  <si>
    <t>nil (no ditect costs)</t>
  </si>
  <si>
    <t>nil (no direct cost)</t>
  </si>
  <si>
    <t>Information on marine litter from fishing anf recreational boats, if available.</t>
  </si>
  <si>
    <t xml:space="preserve">Strengthening capacities in legal and technical fields of the Dept. of Air, Water and Pipeline Transport (MCT) is essential for successful implementation of Activities related to CSO 4 (cf. general note in Column P, Action 1.1.1). </t>
  </si>
  <si>
    <t>To be considered following accession of BIH to MARPOL Annex V.</t>
  </si>
  <si>
    <t>As part of general introductory (tailor made) training on services offered by EMSA (cf. Action 1.1.1c).</t>
  </si>
  <si>
    <t>Specifically concerning marine plastic litter from fishing and recreational boats.</t>
  </si>
  <si>
    <t>Training required on response to marine litter (collection, removal, disposal).</t>
  </si>
  <si>
    <t>cf. note in column P, Action 4.1.1a.</t>
  </si>
  <si>
    <t>cf note in column P, Action 4.1.1a</t>
  </si>
  <si>
    <t>A training session required on Regional Plan on Marine Litter Management in the Mediterranean, with an emphasis on litter from fishing and recreational boats.</t>
  </si>
  <si>
    <t>Can be organized regardless of accession to MARPOL Annex V.</t>
  </si>
  <si>
    <t>A training session required on IMO Action Plan to Address Marine Plastic Litter from Ships.</t>
  </si>
  <si>
    <t>To be considered after accession to MARPOL Annex V.</t>
  </si>
  <si>
    <t>External legal expert advice needed to assess the feasibility of acceding of BIH to MARPOL Annex V and other requirements at national level.</t>
  </si>
  <si>
    <t>To be considered after accession to MARPOL Annexes I-IV, in close collaboration with MFTER.</t>
  </si>
  <si>
    <t>Preparation and implementation of national regulations for discharge of plastic wastes from fishing and recreational vessels to be considered (TO BE VERIFIED).  Possible cooperation with Croatia.</t>
  </si>
  <si>
    <t>To start following accession of BIH to MARPOL Annex V, if this is found to be feasible.</t>
  </si>
  <si>
    <t xml:space="preserve">Specific training on conducting IMSAS and implementing corrective measures. </t>
  </si>
  <si>
    <t>N/A in BIH: not Party to MARPOL Annex V.</t>
  </si>
  <si>
    <t>After acceding to MARPOL Annex V.</t>
  </si>
  <si>
    <t>In collaboration between MCT and nat. FP for LBS Prot.</t>
  </si>
  <si>
    <t>Regardless of acceding to MARPOL Annex V.</t>
  </si>
  <si>
    <t>Technical assistance also be required.</t>
  </si>
  <si>
    <t>Concerning facilities for reception of garbage from recreational and fishing vessels boats in Neum.</t>
  </si>
  <si>
    <t>External legal expert advice needed to assess the modalities of charging for the use of reception facilities, in particular with regard to recreational and fishing vessels.</t>
  </si>
  <si>
    <t>For use of reception facilities for garbage from recreational and fishing vessels boats in Neum.</t>
  </si>
  <si>
    <t>N/A in BIH: not party to MARPOL Annex V.</t>
  </si>
  <si>
    <t>External legal expert advice needed to set up a national legal framework, taking into consideration the specificities of BIH.</t>
  </si>
  <si>
    <t xml:space="preserve">After acceding to MARPOL Annex V and only with regard to smaller recreational and fishing vessels. No commercial seaports and international shipping in waters under BIH jurisdiction. </t>
  </si>
  <si>
    <t xml:space="preserve">Capacity building in legal and technical fields of the Dept. of Air, Water and Pipeline Transport (MCT) is essential for the implementation of MARPOL.   </t>
  </si>
  <si>
    <t>After acceding to MARPOL Annex V. Training on FSI inspections to be included in capacity building process at MCT.</t>
  </si>
  <si>
    <t>N/A in BIH: no commercial ports in BIH, BIH not part of Paris and Med. MoUs.</t>
  </si>
  <si>
    <t>N/A in BIH: no commercial ports in BIH.</t>
  </si>
  <si>
    <t>Only for garbage from recreational and fishing boats/vessels.</t>
  </si>
  <si>
    <t>To start regardless of accession to MARPOL Annex V</t>
  </si>
  <si>
    <t>Technical expert advice needed to select optimum collection options/facilities.</t>
  </si>
  <si>
    <t>Training on marine litter management needed, in addition to technical advice.</t>
  </si>
  <si>
    <t>N/A in BIH: no commercial ports in BIH, no international shipping in waters under BIH jurisdiction.</t>
  </si>
  <si>
    <t>To be considered only if confirmed that there is a need for it, possibly in cooperation with neighbouring Croatia. (NB. maritime area of BIH is only some 14 sq km).</t>
  </si>
  <si>
    <t>N/A in BIH: no commercial ports and no merchant ships registered under BIH flag.</t>
  </si>
  <si>
    <t>As part of general introductory (tailor made) training on MARPOL Annex V.</t>
  </si>
  <si>
    <t>Inspections could be carried out only on fishing and recreational vessels and in non-commercial port of Neum.</t>
  </si>
  <si>
    <t>Capacity building in legal and technical fields of the Dept. of Air, Water and Pipeline Transport (MCT) is essential for the implementation of MARPOL Annex V.</t>
  </si>
  <si>
    <t xml:space="preserve">After accession to MARPOL Annex V, if such  decision is taken. </t>
  </si>
  <si>
    <t>In accordance with the work plan of REMPEC.</t>
  </si>
  <si>
    <t>nil (no ditrect costs)</t>
  </si>
  <si>
    <t>Depends on the development of regional policy guidelines.</t>
  </si>
  <si>
    <t>Depends on the development of such tools.</t>
  </si>
  <si>
    <t>Not Party to London Convention and MARPOL Annex V.</t>
  </si>
  <si>
    <t>Following accession to London Convention and MARPOL Annex V.</t>
  </si>
  <si>
    <t>In collaboration with BIH national MAP FP</t>
  </si>
  <si>
    <t xml:space="preserve">Strengthening capacities in legal and technical fields of the Dept. of Air, Water and Pipeline Transport (MCT) is essential for successful implementation of Activities related to CSO 5 (cf. general note in Column P, Action 1.1.1). </t>
  </si>
  <si>
    <t>Basic training required on IMO work on biosafety.</t>
  </si>
  <si>
    <t xml:space="preserve">In particular, training on biosafety and AFS related to recreational and fishing vessels. To be included in general training on IMO initiatives (cf. note in column P, Activities 1.1.1, 1.2.1 f and 1.2.1g.) </t>
  </si>
  <si>
    <t>Needs to be established in collaboration with SPA/RAC national FP.</t>
  </si>
  <si>
    <t>Basic training required on EMSA work on biosafety.</t>
  </si>
  <si>
    <t>cf. Action 1.1.1c.</t>
  </si>
  <si>
    <t>N/A in BIH: no ships registered under BIH flag, no commercial ports.</t>
  </si>
  <si>
    <t>N/A in BIH: not Party to BWM Conv.</t>
  </si>
  <si>
    <t>N/A in BIH: not Party to AFS Conv.</t>
  </si>
  <si>
    <t>As part of general training on EMSA services and projects.</t>
  </si>
  <si>
    <t>No ships registered under BIH flag, no commercial ports.</t>
  </si>
  <si>
    <t>Decision to accede to these two Int. Conventions to be considered at a later stage.</t>
  </si>
  <si>
    <t>If decision to accede to BWM and AFS Conventions is taken.</t>
  </si>
  <si>
    <t>To consider possible cooperation with/ assistance from the neighbouring Croatia.</t>
  </si>
  <si>
    <t>Regardless of acceding to BWM and AFS Conventions, compliance with such requirements for recreational and fishing vessels could be made mandatory for locally registered vessels.</t>
  </si>
  <si>
    <t>BIH does not participate in either Paris or Med. MoU.</t>
  </si>
  <si>
    <t>In close cooperation with SPA/RAC national FP.</t>
  </si>
  <si>
    <t>In close cooperation with MFTER and SPA/RAC national FP, if MAMIAS still active.</t>
  </si>
  <si>
    <t>To be considered in cooperation with scientific institutions in BIH and national SPA/RAC FP:</t>
  </si>
  <si>
    <t>Attending joint activities organized by various Med. RACs.</t>
  </si>
  <si>
    <t>Participation of 2 BIH representatives in 3 reg. Workshops (to be organized 2022-2031)</t>
  </si>
  <si>
    <t>No shipping routes in or near waters under BIH jurisdiction, no ships registered under BIH flag, no commerciaal ports.</t>
  </si>
  <si>
    <t xml:space="preserve">Strengthening capacities in legal and technical fields of the Dept. of Air, Water and Pipeline Transport (MCT) is essential for successful implementation of Activities related to CSO 6 (cf. general note in Column P, Action 1.1.1). </t>
  </si>
  <si>
    <t>No ships' traffic or shipping routes near waters under BIH jurisdiction.</t>
  </si>
  <si>
    <t xml:space="preserve">Nomination of competnent national authorities to be reviewed. </t>
  </si>
  <si>
    <t>In close cooperation with HEIS, as BIH Gov. And OPRC FP, MFTER and national FPs of other Med. RACs.</t>
  </si>
  <si>
    <t>Pending accession to MARPOL Annex IV. However, no merchant shipping routes in or near waters under BIH jurisdiction.</t>
  </si>
  <si>
    <t>cf. general note in column P, Activity 1.1.1.</t>
  </si>
  <si>
    <t>BIH not Party to ACCOBAMS. No shipping routes in or near waters under BIH jurisdiction.</t>
  </si>
  <si>
    <t>The presence of cetaceans (dolphins) in waters under BIH jurisdiction to be confirmed.</t>
  </si>
  <si>
    <t xml:space="preserve">N/A in BIH: no shipping routes near waters under BIH jurisdiction, no merchant ships registered under BIH flag, no commercial seaports in BIH.  </t>
  </si>
  <si>
    <t>Possible cooperation with the neighbouring Croatia to be considered.</t>
  </si>
  <si>
    <t xml:space="preserve">In agreement between MCT, MFTER and different nat. Focal Points. </t>
  </si>
  <si>
    <t>Activity recorded / offered</t>
  </si>
  <si>
    <t>end</t>
  </si>
  <si>
    <t>Israel Ministry of Trasportation (IMOT)</t>
  </si>
  <si>
    <t>IMOT is a member. However, IMOEP has the designated officials.</t>
  </si>
  <si>
    <t>Marine environment protection, Ministry of Environmetal Protection</t>
  </si>
  <si>
    <t>Need a decision to particiapte</t>
  </si>
  <si>
    <t>IMOEP is ready, but not implemented yet.</t>
  </si>
  <si>
    <t>Need a decision to implement</t>
  </si>
  <si>
    <t>Level 1+2 only.</t>
  </si>
  <si>
    <t>One newly trained personnel</t>
  </si>
  <si>
    <t>Need to establish such a project with the industry</t>
  </si>
  <si>
    <t>Need to establish such a project</t>
  </si>
  <si>
    <t xml:space="preserve">Target unclear. </t>
  </si>
  <si>
    <t>About1000 inspections p/year</t>
  </si>
  <si>
    <t>CP using analyses produced by Thesis-Med database</t>
  </si>
  <si>
    <t>With Cyprus+Greece. And with Jordan at Gulf of Aqaba.</t>
  </si>
  <si>
    <t>1 SCP implemented</t>
  </si>
  <si>
    <t>CP has own "Blue Fund". However, not regional.</t>
  </si>
  <si>
    <t>Annex I,II,III ratified. Annex IV in progress.</t>
  </si>
  <si>
    <t>Reassessement in progress.</t>
  </si>
  <si>
    <t>About EUR 50M + 22 staff</t>
  </si>
  <si>
    <t>Oil response - completed. HNS response - Not started.</t>
  </si>
  <si>
    <t>By EMSA and IMOD</t>
  </si>
  <si>
    <t>Awareness - completed. SafeSeaNet - restricted by IMOD.</t>
  </si>
  <si>
    <t>Target to REMPEC. Implementation by CP.</t>
  </si>
  <si>
    <t>CP implement IMS. However, not sure if in accordance with guidance.</t>
  </si>
  <si>
    <t>Not relevant in Israel</t>
  </si>
  <si>
    <t>Decision to go ahead with implementation</t>
  </si>
  <si>
    <t>Except HNS</t>
  </si>
  <si>
    <t>For example - use of drones</t>
  </si>
  <si>
    <t>RETOS developed</t>
  </si>
  <si>
    <t>MEDGIS-MAR platform not known to CP</t>
  </si>
  <si>
    <t>Not published due to confidentiality</t>
  </si>
  <si>
    <t>Internal training only</t>
  </si>
  <si>
    <t>Need to study of this requirement</t>
  </si>
  <si>
    <t xml:space="preserve">CP is preparing for IMSAS </t>
  </si>
  <si>
    <t>2023/2024</t>
  </si>
  <si>
    <t>Possibly required also investment</t>
  </si>
  <si>
    <t>No any viable solution yet in place</t>
  </si>
  <si>
    <t>New ports have the facility, old port not yet</t>
  </si>
  <si>
    <t>CP is aware about the regulatiosn</t>
  </si>
  <si>
    <t>Circulation of local reports as per Barcelona convention</t>
  </si>
  <si>
    <t>Campaigns not from vessels, but from the port environment</t>
  </si>
  <si>
    <t>New ports and Israel shipyard port have the facility, old port not yet</t>
  </si>
  <si>
    <t>Cleanseanet - completed. SafeSeaNet - restricted by IMOD.</t>
  </si>
  <si>
    <t>In way of monitoring stations data available to the public</t>
  </si>
  <si>
    <t>By Israel Oceanographic and Limnological Researh Institute</t>
  </si>
  <si>
    <t>No cruise companies with Israel flag</t>
  </si>
  <si>
    <t>Via the clean coast program</t>
  </si>
  <si>
    <t>Via the implementaion of regional plan</t>
  </si>
  <si>
    <t>CP not requested yet to assist. Once requested CP will assist.</t>
  </si>
  <si>
    <t>Part of a regional plan. Target 200%?</t>
  </si>
  <si>
    <t>Target?!</t>
  </si>
  <si>
    <t>Same question as above</t>
  </si>
  <si>
    <t>Israel didn’t ratify London convention. Other protocols - yes.</t>
  </si>
  <si>
    <t>Not relevant for non-EU?</t>
  </si>
  <si>
    <t>BWM - In progress, AFS - partially</t>
  </si>
  <si>
    <t>CME is uknown to CP</t>
  </si>
  <si>
    <t>Carried out by RO on behalf of CP</t>
  </si>
  <si>
    <t>Target for Rempec?</t>
  </si>
  <si>
    <t>Need to obtain access to the tool</t>
  </si>
  <si>
    <t>By Israel Nature and Parks Authority, risk assessment tool used, but not one of the mentioned in Q.5.13.1a</t>
  </si>
  <si>
    <t>CP not aware of this service</t>
  </si>
  <si>
    <t>With Cyprus+Greece.</t>
  </si>
  <si>
    <t>CP not yet proposed additional routing</t>
  </si>
  <si>
    <t>By Israel Nature and Parks Authority</t>
  </si>
  <si>
    <t>Partially completed - only Annexes that were ratified.</t>
  </si>
  <si>
    <t xml:space="preserve">In the CP policy document on marine protected areas. </t>
  </si>
  <si>
    <t>By Israel Nature and Parks Authority, Target?!</t>
  </si>
  <si>
    <r>
      <rPr>
        <sz val="12"/>
        <color rgb="FF000000"/>
        <rFont val="Calibri"/>
        <family val="2"/>
        <charset val="1"/>
      </rPr>
      <t xml:space="preserve">● </t>
    </r>
    <r>
      <rPr>
        <sz val="12"/>
        <color rgb="FF000000"/>
        <rFont val="Calibri Light"/>
        <family val="2"/>
        <charset val="1"/>
      </rPr>
      <t>MENELAS</t>
    </r>
  </si>
  <si>
    <t>Ministry for capital investments</t>
  </si>
  <si>
    <t xml:space="preserve">MN participated in a few meetings of MENELAS . MN has  a Designated representative for MENELAS.MN has no yet the  Country profile on the MENELAS web site.As stated in the Contry profile, the last meeting attended by MN representatives regarding MENELAS was in 2013.
</t>
  </si>
  <si>
    <t>Lack of officials</t>
  </si>
  <si>
    <t xml:space="preserve"> MN has no activities on this issue so far. </t>
  </si>
  <si>
    <t>Administration for Maritime Safety and Port Management</t>
  </si>
  <si>
    <t>MN has designated Focal Point   that should attend meetings and actively participate in the implementation of the programme of work of the MTWG</t>
  </si>
  <si>
    <t xml:space="preserve"> MN joined the CleanSeaNet system In 2014.MN representatives regularly attend meetings.</t>
  </si>
  <si>
    <t xml:space="preserve">In the framework of MEDESS-4MS project, Montenegro, being a beneficiary country, initiated an application to participate in the CleanSeaNet at end of 2012. MN became the first non-EU country in EU LRIT Data Centre </t>
  </si>
  <si>
    <t>Administration for Maritime Safety and Port Management (AMSPM)</t>
  </si>
  <si>
    <t>Representatives from MN maritime administration  actively participate in the work of the Working Group at the invitation of EMSA.</t>
  </si>
  <si>
    <t>Our territorial sea, internal waters and SAR zone are completely covered with AIS signal. AIS
signal is exchanged with EMSA regional centre in Rome through MARES system hosted by the
Italian Coast Guard.</t>
  </si>
  <si>
    <t>Competent authoritie do not know the status of the activitie.</t>
  </si>
  <si>
    <t xml:space="preserve">Training Course on Preparedness and Response to Accidental Marine Pollution  was deliverd by REMPEC in 2006. In June 2019, IMO OPRC Model Course, Level 2 - Montenegro .Regional Government and Industry Workshop on Cooperation, Preparedness for and Response to Oil Spills in the Mediterranean Sea - May 2009,  France.  Workshop for the National Marine Pollution Response Plan - IMO OPRC strategic level - level 3 was held in 2021.,        
</t>
  </si>
  <si>
    <t xml:space="preserve">we lack of officials  </t>
  </si>
  <si>
    <t xml:space="preserve">On April 23rd and 24th ATRAC delivered a two-day training course „Accidental Marine Pollution Fundamentals“ in Bar, MN, organized by AMSPM. The education was based on IMO OPRC Level 1 model course
</t>
  </si>
  <si>
    <t>REMPEC SafeMed II Project HNS Training Course Sliema, Malta 2012</t>
  </si>
  <si>
    <t>Training -IMO HNS Model Course ( Operational and Management level )</t>
  </si>
  <si>
    <t>Consultation  is needed to provide an answer</t>
  </si>
  <si>
    <t>Ministry of Ecology Spatial Planning and Urbanism ( MESPU)</t>
  </si>
  <si>
    <t>17-19 May 2022- As part of the Coastal Response Plans project, the Maritime Safety Authority organized a workshop on Shoreline Clean-Up Assessment Technique (SCAT) after pollution.   In July 2022 a workshop was held in MN and in septembar training will be held.</t>
  </si>
  <si>
    <t>The Wild Life Response Plan project began in May 2022 and is expected to be completed by the end of September</t>
  </si>
  <si>
    <t>IMO Regional Workshop on Port Reception Facilities was held from 27 – 29 November 2012, Belgium</t>
  </si>
  <si>
    <t>2023, 2024</t>
  </si>
  <si>
    <t>We need more trainings , workshops related to Waste management, since the last one wes held on 2012.</t>
  </si>
  <si>
    <t xml:space="preserve"> INTERREG ADRION project ECOWAVES  February 2022 -workshop was held on Capacity Building for further improvement of waste management systems in ports.MN Industrial Waste Management and Cleanup Project (IWMCP)is ongoing.</t>
  </si>
  <si>
    <t>EMSA Training course on " The use of surveillance systems for marine pollution detection and assessment - operational aspect " was held in 2011.</t>
  </si>
  <si>
    <t>2023,2024</t>
  </si>
  <si>
    <t>Montenegro does not have Aerial Surveillance .</t>
  </si>
  <si>
    <t>REMPEC Regional workshop for implementation on Anex II and III of MARPOL Convention,Malta, Sliema 26 – 29 April 2010; National training Course on MARPOL Convention 2007</t>
  </si>
  <si>
    <t>More workshops , trainings we need , since we did not have any for long time</t>
  </si>
  <si>
    <t xml:space="preserve"> TAIEX program- cooperation with
inspection services in the Netherlands and Belgium -trainings of the PSC inspectors in the port of
Rotterdam and Antwerp were held  in May and June 2022. 
</t>
  </si>
  <si>
    <t>more trainings -lack of PSC inspectors</t>
  </si>
  <si>
    <t xml:space="preserve">     Montenegro is a candidate country for full membership to Paris Mou. Montenegro has an insufficient number of PSC  inspectors</t>
  </si>
  <si>
    <t>EMSA Training on Flag State Implementation,Croatia, Zagreb 17-18 February 2010</t>
  </si>
  <si>
    <t>Wildlife Response Plan Workshop held in july 2022</t>
  </si>
  <si>
    <t>Montenegro is not member of EUROWA</t>
  </si>
  <si>
    <t>Montenegro representatives attend all workshops and seminars organised by EMSA for enlargement countries( online and phisical participation).</t>
  </si>
  <si>
    <t>three day Workshop for the National Marine Pollution Response Plan - IMO OPRC strategic level - level 3,was held im Montenegro in novembar 2021</t>
  </si>
  <si>
    <t xml:space="preserve">Montenegrin legislation related to environment is in a large percentage harmonized with EU legislation
</t>
  </si>
  <si>
    <t xml:space="preserve">Trainings on EU legislation related to environment protection - ship polution protection </t>
  </si>
  <si>
    <t>Montenegrin representative are awere of service and actively participate in working groups releting to this activity</t>
  </si>
  <si>
    <t>There were no activities, but it would certainly be necessary to participate in the work of this expert working group, if possible.</t>
  </si>
  <si>
    <t>AMSPM  asked several times to be the part of the sistem and to participate in Working Group, but so far , there was  no any feedback.</t>
  </si>
  <si>
    <t>As a candidate country Montenegro has access to all services offered by EMSA</t>
  </si>
  <si>
    <t>‘’Adriatic 2019’’, was held in the waters of Port of Bar and Kotor in Octobar 2019, "Jadran 22" was held in May 2022. Also , in June 9, 2017, Interministerial exercise was held in Kotor.</t>
  </si>
  <si>
    <t>Representatives of the Maritime administration of Montenegro actively and regularly participate in trainings organized by EMSA, REMPEC and IMO. They also paricipate in regional workshops as well as regional exercises.</t>
  </si>
  <si>
    <t xml:space="preserve"> as a part od Adriatic 2019 and Jadran 22 exercise held</t>
  </si>
  <si>
    <t>CA is not familiar with activitie</t>
  </si>
  <si>
    <t xml:space="preserve">Competent authorities do not know the status </t>
  </si>
  <si>
    <t>implemented in NCP</t>
  </si>
  <si>
    <t xml:space="preserve">Competent authoritie is not familiar with activitie. </t>
  </si>
  <si>
    <t xml:space="preserve">During the last 4 years no detention of wessels </t>
  </si>
  <si>
    <t>As a candidate country Montenegro striving for a full membership in the Paris MoU., in 2016 we had 16 inspections, in 2017 (76) and around 50 ship
inspections by October 2018. It was concluded that these inspections had been successfully entered in the database by the Port State Control officers (PSCOs).</t>
  </si>
  <si>
    <t>Montenegro applied for membership of the Paris MoU 2011. Since then montenegrin inspectors  participated in numerous seminars and workshops organized by the IMO, EMSA and other organisations.</t>
  </si>
  <si>
    <t>The inspector uses data from THETIS to determine the priority of the inspection of a foreign vessel PSC.</t>
  </si>
  <si>
    <t>The Maritime Administration is in the process of harmonizing its national legislation with EU legislation.</t>
  </si>
  <si>
    <t xml:space="preserve">We need more trainings related to EU legislation </t>
  </si>
  <si>
    <t xml:space="preserve">NCP was adopted by the Government of Montenegro in 2011. The new  revision of the National Contingency Plan was ongoing proces - The Draft NCP was prepared .
</t>
  </si>
  <si>
    <t xml:space="preserve">CA is not familiar with activitie </t>
  </si>
  <si>
    <t xml:space="preserve">MN was not familiar with " Blue Fond" and BF activities </t>
  </si>
  <si>
    <t xml:space="preserve">Montenegro accepted 2002 Prevention and Emergency Protocol by accession  19/11/2007
</t>
  </si>
  <si>
    <t>action was completed in 2007</t>
  </si>
  <si>
    <t xml:space="preserve">Montenegro has become a Contracting Party to MARPOL Convention and its Annex I, Annex II, Annex III and Annex IV, by succssion , June 3th 2006 </t>
  </si>
  <si>
    <t xml:space="preserve">As an independet state MN ratified MARPOL VI- 2013 </t>
  </si>
  <si>
    <t>Montenegro ratified OPRC 90 Convention in 2021.</t>
  </si>
  <si>
    <t>action was completed in 2021.</t>
  </si>
  <si>
    <t>The preparation  for ratification is in the final stage. We expect that the Government of Montenegro will adopt the Proposal of the Law on ratification  in IV / Q 2022.</t>
  </si>
  <si>
    <t>Montenegro ratified CLC Convention in 2011.</t>
  </si>
  <si>
    <t>action was completed in 2011</t>
  </si>
  <si>
    <t>Montenegro ratified BUNKER  Convention in 2011.</t>
  </si>
  <si>
    <t>Montenegro ratified FUND 1992 Convention in 2011.</t>
  </si>
  <si>
    <r>
      <rPr>
        <sz val="12"/>
        <color rgb="FF000000"/>
        <rFont val="Calibri Light"/>
        <family val="2"/>
        <charset val="1"/>
      </rPr>
      <t>● the 2010 Protocol to the International Convention on Liability and Compensation for Damage in Connection with the Carriage of Hazardous and Noxious Substances by Sea, 1996 (The 2010 HNS Protocol).(</t>
    </r>
    <r>
      <rPr>
        <i/>
        <sz val="12"/>
        <color rgb="FF000000"/>
        <rFont val="Calibri Light"/>
        <family val="2"/>
        <charset val="1"/>
      </rPr>
      <t>Still not into force</t>
    </r>
    <r>
      <rPr>
        <sz val="12"/>
        <color rgb="FF000000"/>
        <rFont val="Calibri Light"/>
        <family val="2"/>
        <charset val="1"/>
      </rPr>
      <t>)</t>
    </r>
  </si>
  <si>
    <t>MN is now in proces of ratification Nairobi convention and OPRC -HNS convention.We will start the procedure of ratification HNS 2010 Protocol when in force.</t>
  </si>
  <si>
    <t>The IMO Audit of Montenegro was undertaken from 2/11/2019 to 11/11/2019 .</t>
  </si>
  <si>
    <t>The pre-audit questionnaire (PAQ), which is a major document for the preparatory work of the audit team prior to the audit was submitted by Montenegro to the audit team. New IMSAS Audit was planed for 2027.</t>
  </si>
  <si>
    <t>Law on Protection of Sea Against Pollution from Vessels (Official Gazette of Montenegro, No: 20/2011, 26/2011 i 27/2014)., regulates this issue.</t>
  </si>
  <si>
    <t xml:space="preserve"> law is partialy in line with EU Directive 2005/35/EC on ship-source pollution and on the introduction of penalties, including criminal penalties, for pollution offences.</t>
  </si>
  <si>
    <t>Inspection report was prepered after each investigation</t>
  </si>
  <si>
    <t>In accordance with NCP inspectors investigate oill pollution</t>
  </si>
  <si>
    <t>New law  on protection of the sea from pollution from maritime facilities will regulate this issue</t>
  </si>
  <si>
    <t xml:space="preserve">Mn administration was not familiar with Blue Fond and BF activities so far.  </t>
  </si>
  <si>
    <t xml:space="preserve"> Service Agreement with Company for
sanitary and environmental protection “HEMOSAN”, </t>
  </si>
  <si>
    <t xml:space="preserve">EMSA will provide and deliver PRF Study for Montenegrin main port . This is an  ongoing proces. It is supposed to be done in 2023. </t>
  </si>
  <si>
    <t xml:space="preserve"> Service Agreement with Company for
sanitary and environmental protection “HEMOSAN”, 
</t>
  </si>
  <si>
    <t>HEMOSAN  has all of the necessary
equipment for working in environmental protection and processing of all types of waste, as
well as two Eco Centres</t>
  </si>
  <si>
    <r>
      <rPr>
        <sz val="12"/>
        <color rgb="FF000000"/>
        <rFont val="Calibri Light"/>
        <family val="2"/>
        <charset val="1"/>
      </rPr>
      <t xml:space="preserve">% of major </t>
    </r>
    <r>
      <rPr>
        <b/>
        <sz val="12"/>
        <color rgb="FF000000"/>
        <rFont val="Calibri Light"/>
        <family val="2"/>
        <charset val="1"/>
      </rPr>
      <t>ports having established collection and treatment procedures for sewage</t>
    </r>
    <r>
      <rPr>
        <sz val="12"/>
        <color rgb="FF000000"/>
        <rFont val="Calibri Light"/>
        <family val="2"/>
        <charset val="1"/>
      </rPr>
      <t>; and</t>
    </r>
  </si>
  <si>
    <r>
      <rPr>
        <sz val="12"/>
        <color rgb="FF000000"/>
        <rFont val="Calibri Light"/>
        <family val="2"/>
        <charset val="1"/>
      </rPr>
      <t xml:space="preserve">% of major </t>
    </r>
    <r>
      <rPr>
        <b/>
        <sz val="12"/>
        <color rgb="FF000000"/>
        <rFont val="Calibri Light"/>
        <family val="2"/>
        <charset val="1"/>
      </rPr>
      <t>ports with collection and treatment procedures for sewage in place</t>
    </r>
    <r>
      <rPr>
        <sz val="12"/>
        <color rgb="FF000000"/>
        <rFont val="Calibri Light"/>
        <family val="2"/>
        <charset val="1"/>
      </rPr>
      <t>.</t>
    </r>
  </si>
  <si>
    <t>RETOS Individual Country Specific Session for Montenegro was held in Novembar 2021.</t>
  </si>
  <si>
    <t xml:space="preserve">AMSPM through the funding of the IPA I:2007-2013 Program, in 2013 procured emergency response equipment worth over EUR 1,000,000 </t>
  </si>
  <si>
    <t>MN has no adequate HNS response capabilities</t>
  </si>
  <si>
    <t>MN maritime administration is awere of the EMSA  pollution response services</t>
  </si>
  <si>
    <t xml:space="preserve">Coastal VTS  has been established in Montenegro.VTMIS sistem is operational since 2015. Implementation of the VTMIS system  is supported by EU through the Project “VTMIS and response to marine pollution incidents”. The VTMIS sensor equipment and   server equipment  were installed  
</t>
  </si>
  <si>
    <t xml:space="preserve">Tender procedures for II phase was completed and contracts for the second phase of VTMIS and NMSW were signed and implementation is ongoing. </t>
  </si>
  <si>
    <t xml:space="preserve">In 2014, Montenegro joined the CleanSeaNet system, a satellite-based monitoring system for marine oil spill detection and surveillance in European waters. </t>
  </si>
  <si>
    <t xml:space="preserve">AMSPM asked several times to be a part of the sistem but so fare no feedback received.  </t>
  </si>
  <si>
    <t>To increase awareness on the AIS based traffic monitoring services offered by EMSA (e.g. SafeSeaNet Ecosystem Graphical User Interface (SEG) and the regional cooperation entities (e.g. Mediterranean regional AIS server (MAREƩ)).</t>
  </si>
  <si>
    <t xml:space="preserve"> Our territorial sea, internal waters and SAR zone are completely covered with AIS signal. AIS
signal is exchanged with EMSA regional centre in Rome through MARES system hosted by the
Italian Coast Guard.  </t>
  </si>
  <si>
    <t>CA do not know the status</t>
  </si>
  <si>
    <r>
      <rPr>
        <sz val="8"/>
        <color rgb="FF000000"/>
        <rFont val="Calibri Light"/>
        <family val="2"/>
        <charset val="1"/>
      </rPr>
      <t xml:space="preserve">INFORMATION  </t>
    </r>
    <r>
      <rPr>
        <b/>
        <sz val="8"/>
        <color rgb="FFFFFFFF"/>
        <rFont val="Calibri Light"/>
        <family val="2"/>
        <charset val="1"/>
      </rPr>
      <t>AND KNOWLEDGE SHARING</t>
    </r>
  </si>
  <si>
    <t>Environmental Protection Agency ( EPA)</t>
  </si>
  <si>
    <t>Wild Life Response Plan is a part of the NCP ( operational plan)</t>
  </si>
  <si>
    <t>Shoreline response Plan is  a part of the NCP ( operational plan )</t>
  </si>
  <si>
    <t>MN is observer in MMRP</t>
  </si>
  <si>
    <t xml:space="preserve">Wild Life Responce Plan is a part of the NCP . </t>
  </si>
  <si>
    <t xml:space="preserve">Wild Life Responce Plan is a part of the NCP </t>
  </si>
  <si>
    <t>Maritime Safety and Ports Management Administration ( MSPMA)</t>
  </si>
  <si>
    <t xml:space="preserve">Guidance documet was used in proces of preparation of the National Contingency Plan  </t>
  </si>
  <si>
    <t>Draft NCP was sent to institutions for coments.Draft NCP was prepare with support of expert engaged  through project .</t>
  </si>
  <si>
    <t xml:space="preserve">included in National Contingency Plan Draft
</t>
  </si>
  <si>
    <t xml:space="preserve">included in National Contingency Plan Draft 
</t>
  </si>
  <si>
    <t>ADMINISTRATION FOR FOOD SAFETY, VETERINARY AND PHYTOSANITARY AFFAIRS</t>
  </si>
  <si>
    <t>included in National Contingency Plan Draft version</t>
  </si>
  <si>
    <t>Draft wersion of NCP was delivered to CA for coments/opinion</t>
  </si>
  <si>
    <t>Mn is in proces of updating REMPEC country profile</t>
  </si>
  <si>
    <t xml:space="preserve">MN maritime administration  is compliant with IMO GISIS requirements </t>
  </si>
  <si>
    <t>MN maritime administration  is compliant with IMO GISIS requirements and has contact points</t>
  </si>
  <si>
    <t>MN maritime administration  is compliant with IMO GISIS requirements</t>
  </si>
  <si>
    <t>MN administration regulary enters data in GISIS</t>
  </si>
  <si>
    <t>MCI through the  Mnistry of foreign affairs , informs and delivers copies of the agreements.</t>
  </si>
  <si>
    <t>Maritime faculty Kotor-Center for research, innovation and entrepreneurship</t>
  </si>
  <si>
    <t>The Faculty of Maritime Studies Kotor,  continuously monitors all developments concerning the protection of the sea from pollution from vessels.Professors and associates publish their research papers in monographs, reference
international journals and present them at national and international conferences. 
 SCI, SCIE, SSCI, A&amp;HCI,
2020</t>
  </si>
  <si>
    <t>Continuosly</t>
  </si>
  <si>
    <t xml:space="preserve">Through various types of projects profesors  collaborate with colleagues from the region that tackle similar
issues. </t>
  </si>
  <si>
    <t xml:space="preserve">Representatives from MESPU participated in the IMO WG on reduction of GHG </t>
  </si>
  <si>
    <t xml:space="preserve">MESPU is the competent authority with the overall responsibility for the development, management and coordination of environment and climate action policy in Montenegro.  </t>
  </si>
  <si>
    <t xml:space="preserve">MN Administration stuff  attended training related to this point in the earlier period </t>
  </si>
  <si>
    <t>Trainig will be useful</t>
  </si>
  <si>
    <t xml:space="preserve">  Limit values for sulphur in marine fuels is regulated through the Regulation on limit values of contents of pollutant materials in liquid oil fuels, (Official Gazette of Montenegro No 017/17). This Regulation was based on the Law on air protection (Official Gazette of Montenegro No 25/10 and 43/15)</t>
  </si>
  <si>
    <t>Montenegro is a signatory of MARPOL Annex VI (Official Gazette of Montenegro, International Agreements No. 3/13),</t>
  </si>
  <si>
    <t xml:space="preserve">Law on Protection against Negative Impacts of Climate Change has been adopted, the country’s national GHG inventory system, Low-Carbon Development Strategy and national systems for policies, measures are still not operational. </t>
  </si>
  <si>
    <t>The Law sets the basis for the establishment of the National System for Monitoring, Reporting and Verification of GHGs, the obligation to develop a Low-Carbon Development Strategy  and the definition of national systems for policies.</t>
  </si>
  <si>
    <t xml:space="preserve">One of the strategic objectives of the TDS Montenegro  2019-2035  is Environmental Sustainability: Minimize carbon footprint, noise pollution and impact
on the natural, historical and socio-economic environment. </t>
  </si>
  <si>
    <t>as soon as possible</t>
  </si>
  <si>
    <t>training will be needed</t>
  </si>
  <si>
    <t>MN training centers stuff conduct training and are properly licensed</t>
  </si>
  <si>
    <t>EMSA Training on Flag State Implementation,Croatia, Zagreb 17-18 February 2010. Montenegro supported to participate in the Paris MoU Expert Training “Safety and Environment“</t>
  </si>
  <si>
    <t>Country profile must be updated with information regarding trainings of Flag state.Montenegro is not member of MED Mou yet.</t>
  </si>
  <si>
    <t>Within the Maritime Economy Development Strategy, one of the priorities is Sustainable development and de-carbonization of the maritime industry</t>
  </si>
  <si>
    <r>
      <rPr>
        <sz val="12"/>
        <color rgb="FF000000"/>
        <rFont val="Calibri Light"/>
        <family val="2"/>
        <charset val="1"/>
      </rPr>
      <t>● Reporting requirements to THETIS MRV, enabling companies responsible for the operation of large ships using EU ports to report their CO</t>
    </r>
    <r>
      <rPr>
        <vertAlign val="subscript"/>
        <sz val="12"/>
        <color rgb="FF000000"/>
        <rFont val="Calibri Light"/>
        <family val="2"/>
        <charset val="1"/>
      </rPr>
      <t>2</t>
    </r>
    <r>
      <rPr>
        <sz val="12"/>
        <color rgb="FF000000"/>
        <rFont val="Calibri Light"/>
        <family val="2"/>
        <charset val="1"/>
      </rPr>
      <t xml:space="preserve"> emissions under the Regulation (EU) 2015/757 on Monitoring, Reporting and Verification of CO</t>
    </r>
    <r>
      <rPr>
        <vertAlign val="subscript"/>
        <sz val="12"/>
        <color rgb="FF000000"/>
        <rFont val="Calibri Light"/>
        <family val="2"/>
        <charset val="1"/>
      </rPr>
      <t>2</t>
    </r>
    <r>
      <rPr>
        <sz val="12"/>
        <color rgb="FF000000"/>
        <rFont val="Calibri Light"/>
        <family val="2"/>
        <charset val="1"/>
      </rPr>
      <t xml:space="preserve"> from marine transport.</t>
    </r>
  </si>
  <si>
    <t xml:space="preserve">Montenegro maritime administration use available services.  </t>
  </si>
  <si>
    <t>Representatives from Maritime safety department were participated to so many trainings through SafeMed Projects</t>
  </si>
  <si>
    <t>The Ministry of Ecology, Spatial Planning and Urbanism completed the process of revising the Nationally
Determined Contribution (NDC), which set a new goal for reducing greenhouse gas emissions by 35% by 2030
compared to 1990.</t>
  </si>
  <si>
    <t xml:space="preserve"> The Ministry of Ecology,
Spatial Planning and Urbanism, together with the Ministry of Capital Investments, has continued to work on
the National Energy and Climate Plan (NECP).Training will be needed.</t>
  </si>
  <si>
    <t>MN was not familiar with " Blue Fond" and BF activities ,so far</t>
  </si>
  <si>
    <t xml:space="preserve">Montenegro is a signatory of MARPOL Annex VI ,  Montenegro has partially implemented the provisions of the MARPOL Annex VI through the Law on Protection of Sea Against Pollution from Vessels. </t>
  </si>
  <si>
    <t>The IMO Audit of Montenegro was undertaken from 2/11/2019 to 11/11/2019.The pre-audit questionnaire (PAQ),  was submitted by Montenegro to the audit team. The IMO Audit was undertaken using fully the principles established under the Framework and Procedures for the IMO Member State Audit Scheme and the III Code.</t>
  </si>
  <si>
    <t>Mn administration continuously works to eliminate deficiencies identified during the IMSAS Audit</t>
  </si>
  <si>
    <t>Provisions of MARPOL VI were transponed through  the Law on Protection of Sea against Pollution from Vessels (Official Gazette of Montenegro No 20/2011, 26/2011 and 27/2014),</t>
  </si>
  <si>
    <t xml:space="preserve">Preparation of the new Law on protection of sea against pollution from vesseles is  ongoing proces . The law will be in line with Consolidated version of MARPOL Convention . </t>
  </si>
  <si>
    <t>Consolidated version of MARPOL ANNEX VI will be transponed with the assistance of EMSA</t>
  </si>
  <si>
    <r>
      <rPr>
        <sz val="12"/>
        <color rgb="FF000000"/>
        <rFont val="Calibri Light"/>
        <family val="2"/>
        <charset val="1"/>
      </rPr>
      <t>To comply with the mandatory technical and operational requirements which apply to ships of 400 GT and above, i.e. the EEDI, applicable to new ships, which sets a minimum energy efficiency level for the work undertaken (e.g. CO</t>
    </r>
    <r>
      <rPr>
        <vertAlign val="subscript"/>
        <sz val="12"/>
        <color rgb="FF000000"/>
        <rFont val="Calibri Light"/>
        <family val="2"/>
        <charset val="1"/>
      </rPr>
      <t>2</t>
    </r>
    <r>
      <rPr>
        <sz val="12"/>
        <color rgb="FF000000"/>
        <rFont val="Calibri Light"/>
        <family val="2"/>
        <charset val="1"/>
      </rPr>
      <t xml:space="preserve"> emissions per tonne-mile) for different ship types and sizes, and the SEEMP, applicable to all ships</t>
    </r>
  </si>
  <si>
    <t>Ministry for capital investments-MCI</t>
  </si>
  <si>
    <t xml:space="preserve"> the Law on Protection of Sea Against Pollution from Vessels is relevant.
This law is partialy in line with EU Directive 2005/35/EC 
In order to comply with EU regulations , Montengro should align its legislative framework with
the EU Directive Directive 2009/123/EC 
</t>
  </si>
  <si>
    <t>Law on pollution prevention from ships regulate this area</t>
  </si>
  <si>
    <t>Preparation of the new low is an ongoing proces</t>
  </si>
  <si>
    <t xml:space="preserve">Law on Protection of Sea Against Pollution from Vessels-regulate  waste reception and handling in the ports, and also the responsibility and damage compensation in case of pollution.
</t>
  </si>
  <si>
    <t>Study on PRF will be done using EMSA suport. Proces already started.</t>
  </si>
  <si>
    <t>2023 IV/Q</t>
  </si>
  <si>
    <t>MN administration is familiar with guidelines</t>
  </si>
  <si>
    <t>CA is not familiar with GloMEEP</t>
  </si>
  <si>
    <t>CA DO NOT KNOW THE STATUS</t>
  </si>
  <si>
    <t>CA  do not know the status.</t>
  </si>
  <si>
    <t>CA promote its activities and encurage others institution to collaborate</t>
  </si>
  <si>
    <t>CA is familiar with studies</t>
  </si>
  <si>
    <t>MN administration attends regional working groups</t>
  </si>
  <si>
    <t>Trainings on EU Directive 2016/802 provided by EMSA   was held in Montenegro in septembar 2019.</t>
  </si>
  <si>
    <t>Other EU Maritime environmental legislation were subject to this training</t>
  </si>
  <si>
    <t xml:space="preserve">Institute for Marine Biology </t>
  </si>
  <si>
    <t>Two sensors have been installed that will measure certain parameters of sea water (acidity or alkalinity (pH), salinity, oxygen, temperature, turbidity).It is planned to install sensors in three more locations.</t>
  </si>
  <si>
    <t xml:space="preserve"> National legislation is in line line with EU Directive DIRECTIVE (EU) 2016/802 relating to a reduction in the sulphur content of certain liquid fuels</t>
  </si>
  <si>
    <t xml:space="preserve">Montenegro   suported  a  Proposal.  </t>
  </si>
  <si>
    <t>MN administration was not familiar so far with this activitie</t>
  </si>
  <si>
    <t xml:space="preserve"> Montenegro is a signatory of MARPOL Annex VI (Official Gazette of Montenegro, International Agreements No. 3/13)Law on  Protection of Sea against Pollution from Vessels is partialy in line with Marpol convention</t>
  </si>
  <si>
    <t>2013</t>
  </si>
  <si>
    <t>The IMO Audit of Montenegro was undertaken from 2/11/2019 to 11/11/2019 and the scope of the audit included the flag, coastal and port State obligations of Montenegro in relation to the applicable IMO instruments to which it is a Party. The objectives of the audit were:
• to determine the extent that Montenegro met the obligations imposed upon it
through its adoption of the following applicable mandatory IMO instruments and
• the effectiveness of the implementation of these objectives.</t>
  </si>
  <si>
    <t>The pre-audit questionnaire (PAQ), which is a major document for the preparatory work of the audit team prior to the audit was submitted by Montenegro to the audit team.</t>
  </si>
  <si>
    <t>Regarding the legal framework in Montenegro ,wich regulate this issue, the Law on Protection of Sea Against Pollution from Vessels ,Article 62 ( PENALTY CLAUSES) is relevant. This Article prescribes pecuniary penalties for legal and natural persons. This law is partialy in line with EU Directive 2005/35/EC on ship-source pollution and on the introduction of penalties, including criminal penalties, for pollution offences.</t>
  </si>
  <si>
    <t xml:space="preserve"> Law on protection of the Sea Against Pollution from Vessels   regulates  reception and management of waste in ports.Port beneficiary shall equip the port with facilities for the reception and handling of waste, waste oil, cargo residues and sediments from ballast tanks from vessels</t>
  </si>
  <si>
    <t>After Study of PRF wich will be delivered by EMSA, it will be possible to make a calculation</t>
  </si>
  <si>
    <t>EMSA will provide MN with Study of PRF in Port Of Bar</t>
  </si>
  <si>
    <t>All vessels entering Montenegrin territorial waters have to switch to lowemission fuels before the entrance and enter in their log-books the fuelchangeover operations. S</t>
  </si>
  <si>
    <t>Ships at berth in Montenegrin ports are not allowed
to use fuel with more than 0,1% m/m of sulphur.</t>
  </si>
  <si>
    <t>Curently there is no Project related to LNG gas but In the port of Bar, at the oil terminal, you can load fuel for international voyage (marine disel oil and low sulphur marine gas oil),with a sulfur content of less than 0.1%.Control of the quality and type of fuel is carried out by the Transport Institute - INTRA</t>
  </si>
  <si>
    <t>Port of Bar prepared Action plan for sustainable and low carbon Port of Bar, through the Project SUPAIR (ADRION program)</t>
  </si>
  <si>
    <t>Ports in MN have adequate power supplies</t>
  </si>
  <si>
    <t>Mn administration aplied several times to be the part of the RPASC but so far no feedback received</t>
  </si>
  <si>
    <t>Directive 2016/802 has been transposed through the Decree  on limit values ​​for the content of pollutants in liquid fuels of petroleum origin, 2017</t>
  </si>
  <si>
    <t>Our territorial sea, internal waters and SAR zone are completely covered with AIS signal. AIS signal is exchanged with EMSA regional centre in Rome through MARES system hosted by the Italian Coast Guard.</t>
  </si>
  <si>
    <t>Law on protection of the see is an ongoing proces</t>
  </si>
  <si>
    <t>Consolidated version of MARPOL Convention will be incorporeted through the Law on Prevention of Polution from ships with technical asistence from EMSA</t>
  </si>
  <si>
    <t xml:space="preserve">Equipment for air quality monitoring, including two automatic stations installed in the coastal region (Bar, Kotor)  was acquired within the project „Strengthening the capacities for air quality management in Montenegro“ (IPA 2014-2020). </t>
  </si>
  <si>
    <t>MESPU is working on an Air Pollution Reduction Strategy at the national level</t>
  </si>
  <si>
    <t>PSC inspectors applies guidelines</t>
  </si>
  <si>
    <t>Decree on limit values ​​for the content of pollutants in liquid fuels of petroleum origin, 2017</t>
  </si>
  <si>
    <t xml:space="preserve">MN administration complies with reporting obligation </t>
  </si>
  <si>
    <t>Equipment for air quality monitoring, including two automatic stations installed in the coastal region (Bar, Kotor)  was acquired within the project „Strengthening the capacities for air quality management in Montenegro“ financed by European Union IPA 2014-2020.</t>
  </si>
  <si>
    <t>EPA  prepares an annual inventory of emissions in accordance with the CLRTAP Convention.EPA works under the MESPU and is mandated to regularly update GHG
emission inventory. Montenegro’s GHG emission inventory for the years 1990–2019 was prepared using the 2006 IPCC
Guidelines for National Greenhouse Gas Inventories (2006 IPCC Guidelines).</t>
  </si>
  <si>
    <t xml:space="preserve">According to the Law on Air Protection, the EPA is the
Single National Entity responsible for the preparation of emission inventories.2017, ‘The Rulebook on the Methodology and Contents of the GHG Inventory’ was adopted by the
MESPU </t>
  </si>
  <si>
    <t>Ministry of Ministry of Agriculture, Forestry and Water Management</t>
  </si>
  <si>
    <t xml:space="preserve">CA is not directly part of the JG but participate in activities related to environmental protection </t>
  </si>
  <si>
    <t>Mn administration participated at  expert group
on marine litter and microplastics
Fourth meeting
Online, 9–13 November 2020</t>
  </si>
  <si>
    <t>MN administration was not participated</t>
  </si>
  <si>
    <t>Mn is member of the UN and activly participate into relevant working groups</t>
  </si>
  <si>
    <t xml:space="preserve">Athens, Greece, 10-13 September 2019;7
th Meeting of the Ecosystem Approach Coordination Group
Athens, Greece, 9 September 2019;Meeting of CORMON on Pollution that was held in Podgorica, Montenegro, 2-3 April 2019
</t>
  </si>
  <si>
    <t>International cooperation has remained an important part of the Institute’s activities throughout the years. The Institute is involved in many international projects and the scientists of the Institute are involved in the activities of various international and Mediterranean organisations and committees dealing with the research and conservations of the sea (UNESCO, UNEP, FAO–GFCM, IOC, WHO, ICSEM, CIESM, UNDP). Members of the staff frequently travel abroad for further professional training and scientists from abroad often visit the Institute. The majority of international cooperation is done through the bilateral cooperation with Italy, Russia, the USA, Croatia, Greece, Slovenia, Albania, France, and Germany.</t>
  </si>
  <si>
    <t>Mn administration conduct activities related to marine litter through diferent projects and organise workshops ("Plastic Waste Management-Combating Marine Pollution" )in april 2022</t>
  </si>
  <si>
    <t>Training on marine litter for MPAs in Montenegro – Online workshop report 29 June 2021</t>
  </si>
  <si>
    <t>Montenegro administration is awere and use services provided by EMSA. Directive 2002/59/EC is fully transposed through the legislative framework( Rulebook)</t>
  </si>
  <si>
    <t xml:space="preserve">Implementation of the VTMIS system in Montenegro is supported by EU through the Project “Vessel Traffic Management Information System (VTMIS) and response to marine pollution incidents”.
</t>
  </si>
  <si>
    <t>MN has capacities to respond efficiently</t>
  </si>
  <si>
    <t xml:space="preserve">Montenegro ratified Annex  V by succession. Provisions of Annex V were transposed through the  Law on Protection of Sea Against Pollution from Vessels (Official Gazette of
Montenegro, No: 20/2011, 26/2011 i 27/2014).
</t>
  </si>
  <si>
    <t>This issue is regulated by  the Law on Protection of the Sea against Pollution from Vessels.</t>
  </si>
  <si>
    <t>The IMO Audit of Montenegro was undertaken from 2/11/2019 to 11/11/2019 and the scope of the audit included the flag, coastal and port State obligations of Montenegro in relation to the applicable IMO instruments to which it is a Party. The pre-audit questionnaire (PAQ), which is a major document for the preparatory work of the audit team prior to the audit was submitted by Montenegro to the audit team. The IMO Audit was undertaken using fully the principles established under the Framework and Procedures for the IMO Member State Audit Scheme and the III Code.The objectives of the audit were:
• to determine the extent that Montenegro met the obligations imposed upon it
through its adoption of the following applicable mandatory IMO instruments and
• the effectiveness of the implementation of these objectives.</t>
  </si>
  <si>
    <t>2017</t>
  </si>
  <si>
    <t>MN administration is intensively works to eliminate the deficiencies identified during the IMSAS Audit 2019.</t>
  </si>
  <si>
    <t xml:space="preserve">MN is a  Contracting Party to the Barcelona Convention. 
MN regulated this area through the provisions of the Law on protection of sea
against pollution from vessels which partially complies with the
provisions of the Directive 2000/59/EC and defines obligations of the Port user and the
Master of the Ship. 
</t>
  </si>
  <si>
    <t>Montenegro  faces difficulties in providing its major port with the reception facilities.</t>
  </si>
  <si>
    <t>Montenegro  faces difficulties in providing its major port with the reception facilities</t>
  </si>
  <si>
    <t xml:space="preserve">In accordance with the Law on ports, users of port services in ports shall pay port services fees for collection and treatment of oiled water, wastewater and garbage treatment. </t>
  </si>
  <si>
    <t xml:space="preserve">Ports in Montenegro are not very well equipped with adequate reception facilities that can receive shipboard residues, so they generally have Service Agreement with Company for sanitary and environmental protection “HEMOSAN”, </t>
  </si>
  <si>
    <t xml:space="preserve"> the Law on Protection of Sea Against Pollution from Vessels is relevant.  This law is partialy in line with EU Directive 2005/35/EC on ship-source pollution and on the introduction of penalties, including criminal penalties, for pollution offences.</t>
  </si>
  <si>
    <t>Law on protection of the sea prescribes penal provisions</t>
  </si>
  <si>
    <t>Law on maritime polution is relevant</t>
  </si>
  <si>
    <t>Montenegro is a candidate country striving for a full membership in the Paris MoU.</t>
  </si>
  <si>
    <t>PSC inspectors of Montenegro through TAIEX project  are having  Study Visits to port of Roterdam-May /jun 2022</t>
  </si>
  <si>
    <t>Our ports have service contract with HEMOSAN  eco services</t>
  </si>
  <si>
    <t xml:space="preserve">ongoing proces of preparation of the Study for PRF </t>
  </si>
  <si>
    <t>With the support of EMSA , The PRF Study will be prepared. The proces is ongoing.</t>
  </si>
  <si>
    <t xml:space="preserve"> 2014 Montenegro joined the CSN system,  As a Contracting Party to the Barselona Convention Montenegro shall establish with high priprity, systems and procedures for national and sub-regional monitoring and surveillance including,where practicable, regular individual or coordinated aerial surveillance in the waters under the jurisdiction of Contracting Parties. So far, Montenegro does not have Aerial Surveillance .</t>
  </si>
  <si>
    <t>inspections are carried out by inspectors in accordance with the requirements</t>
  </si>
  <si>
    <t>Information  was not provided yet</t>
  </si>
  <si>
    <t xml:space="preserve">MN use guidelines </t>
  </si>
  <si>
    <t>MN use guidelines but no information received if downloaded</t>
  </si>
  <si>
    <t>Mn participate in working groups</t>
  </si>
  <si>
    <t xml:space="preserve"> CORMON meeting on Biodiversity and Fisheries (Videoconference, 28- 29 March 2022);Meetings of the Ecosystem Approach Correspondence Groups on IMAP Implementation (CORMONs), 1-3 December 2020;Online Consultation Workshop  (MPAs) and (OECM) in the Mediterranean-18 May 2021;8th Post-2020 SAPBIO National Correspondent Meetings - 22 June 2021;Post-2020 SAPBIO - Adriatic Sea Sub-regional Workshop on 26 Feb 2021;Workshop webinars "Other Effective area-based Conservation Measures (OECMs) for the Mediterranean", 14th June 2021</t>
  </si>
  <si>
    <t>MN officials participate in working groups by EMSA invitation</t>
  </si>
  <si>
    <t>2009 National training Course awareness raising seminar on ships ballast water Management</t>
  </si>
  <si>
    <t>Montenegro ratified BMW Convention in 2011.The provisions of  convention are contained in the Law on Protection of Sea against
Pollution from Vessels (Official Gazette of Montenegro No 20/2011, 26/2011 and 27/2014).</t>
  </si>
  <si>
    <t xml:space="preserve">IMO Regional Workshop on the Anti – Fouling Systems Convention (AFS Convention), Ukraine, Odessa 07 – 09 December 2010; REMPEC SafeMed II Project Regional workshop
on AFS Convention 2001
</t>
  </si>
  <si>
    <t>Montenegro ratified AFS Convention in 2011.</t>
  </si>
  <si>
    <t xml:space="preserve">Through the preparation of the  new Law on pollution protection from ship guidelines will be considered </t>
  </si>
  <si>
    <t xml:space="preserve">MESPU In charge of climate policy adoption, implementation and monitoring.
The Climate Change Division is a focal point for the UNFCCC, GEF and
Adaptation Fund. It also deals with waste, and environment
protection, as a part of its remit. </t>
  </si>
  <si>
    <t>Montenegro administration is awere and use services that are ofered by EMSA</t>
  </si>
  <si>
    <t>MKI has established the VTMIS system in MN (VTMS, Phase One) which has been fully operational since October 30th 2015. Directive 2002/59/ec is fully transposed through the Rulebook on the manner of carrying out surveillance, information and management of maritime transport has been adopted as a means of support to the technical system of supervision and control of maritime transport (Official Gazette of Montenegro, No 34/2015).</t>
  </si>
  <si>
    <t>CA do not know the status.</t>
  </si>
  <si>
    <t>Montenegro ratified the BMW and AFS Conventions in 2011</t>
  </si>
  <si>
    <t>Law on Protection of Sea Against Pollution from Vessels (Official Gazette of Montenegro, No: 20/2011, 26/2011 i 27/2014).Accordingly to the Law on Protection of Sea Against Pollution from Vessels, vessels of 400 GT and above, other than fixed or floating platforms, FPSOs and FSOs, shall be issued with an International Anti-fouling System Certificate. Ships of 24 m or more in length and less
than 400 GT engaged in international voyages shall carry a Declaration on Anti-fouling System
and a paint receipt or a contractor invoice for the purchase of anti-fouling system.
Discharge of ballast water and sediment from ballast tanks if they contain harmful substances,
pathogens and invasive species; as well as the application of anti - fouling systems if they
contain biocidal organotin compounds, In the waters of Montenegro is prohibited by this law.</t>
  </si>
  <si>
    <t xml:space="preserve">MN inspectors conduct inspections  by priorities </t>
  </si>
  <si>
    <t>in 2021 has been 103 inspections conducted</t>
  </si>
  <si>
    <t>Montenegro is not member of Mediterranean Mou</t>
  </si>
  <si>
    <t>IN this stage is not possible to give information</t>
  </si>
  <si>
    <t>EMSA will provide MN with Study of the PRF</t>
  </si>
  <si>
    <t xml:space="preserve">Centre for Eco-toxicological Research (CETI) </t>
  </si>
  <si>
    <t xml:space="preserve"> CETI is a leading institution in eco-toxicological testing of all segments of the environment (air, surface and ground water, sea water, wastewater, drinking water, soil) in Montenegro and as a reference institution for the control of food and other products and diagnostics for toxicants. </t>
  </si>
  <si>
    <t xml:space="preserve">Institute of Marine Biology ( IMB) can contribute in the testing of ballast waters and analysis of  biological parameters. </t>
  </si>
  <si>
    <t>The Institute of Marine Biology was a partner in the IPA strategic project BALMAS. Within the project, a database for non-inegenous species and harmful aquatic organisms was created.</t>
  </si>
  <si>
    <t>IMB was partner in IPA strategic Project BALMAS.  Protocol for Ballast Water Sampling in ports was prepared and it was  used for performing Port Baseline Survey in Port of Bar.</t>
  </si>
  <si>
    <t>This Protocol was used for performing Port Baseline Survey in Port of Bar.In the framework of the project simulation of Early Warning Sistem was done.</t>
  </si>
  <si>
    <t>A representative of the Institute is a member of the WG within the RAC-SPA which has a database related to introduced species at the regional level. The Institute was  involved in the preparation of the Initial Assessment within the IFRS, where a national database for introduced species was created.</t>
  </si>
  <si>
    <t xml:space="preserve">2021 -Coastal Plan Diagnostic/Climagine 2 meeting was held in Montenegro ( PAP/RAC and Plan Bleu/RAC (UNEP/MAP).) 4-5 July 2022- Next Coastal Plan Diagnostic/Climagine 2 in the framework of the GEF MedProgramme . May 2022-workshop on marine protected area governance  </t>
  </si>
  <si>
    <t>Montenegro is a member of the Joint Expert Group  that was working on developing a proposal for designating the Adriatic Sea as a PSSA. A draft study for the Adriatic Sea PSSA, was  prepared with the assistance of the Fridtjof Nansen Institute in Oslo</t>
  </si>
  <si>
    <t xml:space="preserve">UN Environment/GEF Project “Promoting Protected Areas Management through Integrated Marine and Coastal Ecosystems Protection in Coastal Area of Montenegro” held 
27 May 2022 in Montenegro. In 2019 Workshop was held in Tirana , Albania regarding PSSA
</t>
  </si>
  <si>
    <t>In accordance with the 2019 Government Annual Work Plan, the Ministry of Transport and Maritime Affairs has prepared a Proposal on amendments to the Maritime Navigation Safety Law, which will be in line with Rule 10 of the COLREG 1972 provisions related to traffic Page 39 separation schemes. This law will create the legal basis for the preparation of the Rulebook on the avoidance of collisions at sea.</t>
  </si>
  <si>
    <t>Montenegro use all services developed and made available by EMSA</t>
  </si>
  <si>
    <t xml:space="preserve">MN is a member of the Joint Expert Group  that was working on developing a proposal for designating the Adriatic Sea as a PSSA.Draft study for the Adriatic Sea PSSA, prepared with the assistance of the Fridtjof Nansen Institute in Oslo. Three meetings in 2006 and 2007; </t>
  </si>
  <si>
    <t>There is no ship's routeing system established in Montenegro thus far.</t>
  </si>
  <si>
    <t xml:space="preserve">As a part of the VTMIS and response to marine pollution incidents project, a Study for Place of Refuge for ships in distress with a map of sites was conducted in 2017. Two locations have been selected as the best option: 1. Sutomore Bay - anchorage, 2. Bar halls - Port of Bar and anchorage.In 2012, an Oil Spill Risk Assessment Study was conducted for the coastal waters of MN.  
</t>
  </si>
  <si>
    <t>Montenegro nominated Focal Point for ACCOBAMS.So far the implementation of the measure has not been discussed because this problem has not  been identified yet in Montenegro.</t>
  </si>
  <si>
    <t>Montenegro ratified all six MARPOL Annexes</t>
  </si>
  <si>
    <t xml:space="preserve">Coastal VTS has been established in Montenegro.MN is part of EU LRIT Data Centre since 2015;  CleanSeaNet -MN member since 2014;  AIS -MN participates in MARES system; IMS  EC and EMSA approved MN access in 2017.Implementation of the VTMIS system in MN is supported by EU through the Project
VTMIS and response to marine pollution
incidents. </t>
  </si>
  <si>
    <t>AMSPM is in proces of signig agrement wih Italian Costal Guard for 
the use of the Mediterranean AIS Regional Server (MAREΣ) to support the establishment of 
pilot projects to extend cooperation on AIS matters within the scope of the projects.</t>
  </si>
  <si>
    <t>Montenegrin Focal Point was not atended workshop</t>
  </si>
  <si>
    <t>Focal Point  is from the Environmental Protection Agency</t>
  </si>
  <si>
    <t xml:space="preserve">In the spring of 2006, Adriatic coastal states distributed to IMO, a a draft study for the Adriatic Sea PSSA, prepared with the assistance of the Fridtjof Nansen Institute in Oslo. </t>
  </si>
  <si>
    <t>Representatives of the Maritime Administration of Montenegro actively participate in trainings and workshops at the invitation of EMSA, REMPEC,through projects</t>
  </si>
  <si>
    <t>So fare ther were no iniciative for submiting proposals</t>
  </si>
  <si>
    <t>OSC</t>
  </si>
  <si>
    <t>Zone d'influence</t>
  </si>
  <si>
    <t>Numéro d'action</t>
  </si>
  <si>
    <t>Action</t>
  </si>
  <si>
    <t>Autorité nationale responsable</t>
  </si>
  <si>
    <t>Autorité responsable</t>
  </si>
  <si>
    <t>Indicateur</t>
  </si>
  <si>
    <t>Objectif</t>
  </si>
  <si>
    <t>Statut national</t>
  </si>
  <si>
    <t>Remarque sur le statut</t>
  </si>
  <si>
    <t>Année de Livraison prévue</t>
  </si>
  <si>
    <t>Type de besoins</t>
  </si>
  <si>
    <t>Remarques sur les besoins</t>
  </si>
  <si>
    <t>Estimation du financement requis (EURO)</t>
  </si>
  <si>
    <t>Tout autre commentaire (limite de 50 mots)</t>
  </si>
  <si>
    <t>OSC 1 - Prévenir, se préparer à, et lutter contre la pollution au pétrole et aux SNPD opérationnelle, illégale et accidentelle provenant des navires</t>
  </si>
  <si>
    <t>OSC 1</t>
  </si>
  <si>
    <t>PERSONNES</t>
  </si>
  <si>
    <t>1.1 Réseaux</t>
  </si>
  <si>
    <t xml:space="preserve">Maintenir et participer activement à </t>
  </si>
  <si>
    <t>PCs</t>
  </si>
  <si>
    <t>% de PC ayant des délégués désignés</t>
  </si>
  <si>
    <t>Office de la Marine Marchande et des Ports (OMMP)</t>
  </si>
  <si>
    <t>PC / parties prenantes</t>
  </si>
  <si>
    <t>terminé</t>
  </si>
  <si>
    <t>OMMP/ Garde nationale/ Douane maritime (à vérifier)</t>
  </si>
  <si>
    <t>● Groupe de travail technique méditerranéen (MTWG)</t>
  </si>
  <si>
    <t>Agence National de Protection de l’Environnement (ANPE)</t>
  </si>
  <si>
    <t>● Clean/SeaNet Autorités nationales compétentes (CSN ANC)</t>
  </si>
  <si>
    <t>● Groupe de travail méditerranéen des experts de l'AIS (MAREƩ EWG)</t>
  </si>
  <si>
    <t xml:space="preserve">Direction Générale du Transport Maritime et des Ports Maritimes de Commerce  (DGTMP) </t>
  </si>
  <si>
    <t>Tirer parti de l’expérience et des connaissances disponibles dans d’autres secteurs (p. ex., partage des connaissances sur les leçons apprises).</t>
  </si>
  <si>
    <t>Secrétariat Général des Affaires Maritimes</t>
  </si>
  <si>
    <t>Parties prenantes</t>
  </si>
  <si>
    <t>Nombre de séminaires, webinaires, présentations d’autres secteurs, etc.</t>
  </si>
  <si>
    <t>Au moins 2 par an</t>
  </si>
  <si>
    <t xml:space="preserve">ANPE OMMP SNSC GNM </t>
  </si>
  <si>
    <t>Renforcer les synergies entre les réseaux compétents, notamment : le Sous-comité de l’OMI sur la Prévention de la pollution et d’intervention (PPR), MTWG, MENELAS, le Groupe technique consultatif pour la préparation et l’intervention (CTG MPPR), l’accord de Bonn et son Groupe de travail sur les questions opérationnelles, techniques et scientifiques concernant les activités de lutte contre la pollution (OTSOPA),  la Commission d’Helsinki (HELCOM),le Réseau d’enquêteurs et de procureurs de la mer du Nord (NSN), le Réseau des procureurs pour les délits environnementaux dans la région de la mer Baltique (ENPRO), les ANC, la réunion Inter-Secrétariat, le Mécanisme de protection civile de l’UE (UCPM), l’Union pour la Méditerranée (UpM), les groupes d’experts de la directive-cadre « Stratégie pour le milieu marin » de l’UE (MSFD) concernés, y compris les groupes d’experts JRC pour les descripteurs 8 et 9, le groupe mixte d’experts sur les aspects scientifiques de la protection de l’environnement marin (GESAMP), le MedPAN, l’UICN, le PAM, le SPA/RAC, et d’autres institutions soucieuses de la préservation de l’environnement, de la diminution de la pollution, etc.</t>
  </si>
  <si>
    <t>Nombre de documents soumis</t>
  </si>
  <si>
    <t>1 rapport d’activité soumis aux différentes sessions sur le travail réalisé par d’autres réseaux concernés</t>
  </si>
  <si>
    <t>en cours</t>
  </si>
  <si>
    <t>ANPE OMMP DGEQV</t>
  </si>
  <si>
    <t>Favoriser l'apprentissage par les pairs (échange d'experts et réunion)</t>
  </si>
  <si>
    <t>Nombre d'évaluations par les pairs dans la région</t>
  </si>
  <si>
    <t>1.2 Renforcement des capacités / Coopération technique</t>
  </si>
  <si>
    <t>Accroître autant que possible le niveau de connaissances dans le domaine de la préparation et de la lutte contre la pollution marine accidentelle par le pétrole et d'autres substances nocives, en offrant des formations sur les sujets suivants :</t>
  </si>
  <si>
    <t>Nombre de membres du personnel nouvellement formés par discipline</t>
  </si>
  <si>
    <t>2 membres du personnel nouvellement formés par pays et par discipline d’enseignement</t>
  </si>
  <si>
    <t>● Cours types de formation OPRC de l'OMI (niveaux 1, 2 et 3)</t>
  </si>
  <si>
    <t>ANPE</t>
  </si>
  <si>
    <t>● Cours types de formation SNPD de l’OMI (niveau opérationnel et niveau cadres)</t>
  </si>
  <si>
    <t>● Formation POSOW (formation des formateurs, gestion des volontaires, reconnaissance du littoral, nettoyage du littoral, réhabilitation de la faune sauvage souillée, mobilisation des pêcheurs dans la lutte contre le déversement d'hydrocarbure, gestion des déchets de déversement d'hydrocarbure)</t>
  </si>
  <si>
    <t>7 personnes</t>
  </si>
  <si>
    <t>● Gestion des déchets</t>
  </si>
  <si>
    <t>● Surveillance et contrôle</t>
  </si>
  <si>
    <t>● MARPOL (Annexe I, Annexe II, Annexe III and Annexe IV)</t>
  </si>
  <si>
    <t xml:space="preserve">● Cours type de contrôle par l’État du port de l’OMI </t>
  </si>
  <si>
    <t>● Cours type d’application des instruments par l'État du pavillon de l’OMI</t>
  </si>
  <si>
    <t>● Cours modèles de l'EUROWA sur la faune et la flore (intervenant BASIQUE, AVANCÉ, SPÉCIALISTE, Manager, Directeur de la filiale faune et flore)</t>
  </si>
  <si>
    <t>Direction Générale de l'Environnement et de la Qualité de la Vie</t>
  </si>
  <si>
    <t>Assister à des ateliers, séminaires et formations proposés par le REMPEC, l’AESM et d’autres réseaux reconnus traitant d'autres domaines, tels que :
	L'économie circulaire, la consommation durable et les mesures de production s'appliquant au transport maritime et à la principale activité maritime (plaisance et divertissement, croisières), l'exploitation des matières premières (pétrole et gaz, exploitation minière en mer, pêche), la logistique (transport de denrées alimentaires, d'énergie, de conteneurs et de matières en vrac), et les infrastructures (ferries, transport maritime local, ports).</t>
  </si>
  <si>
    <t>% de PC participantes</t>
  </si>
  <si>
    <t>SNSC/APAL/DGQEV (tous les intervenants) horizontale</t>
  </si>
  <si>
    <t>Élaborer et mettre en œuvre (en coopération avec l'industrie chimique) une formation multisectorielle et une planification de la contigence en cas de pollution chimique marine, pour les décideurs, les citoyens et les bénévoles, les intervenants sur terre, et les autorités portuaires.</t>
  </si>
  <si>
    <t>Formation développée</t>
  </si>
  <si>
    <t>Année à confirmer</t>
  </si>
  <si>
    <t>pas commencé</t>
  </si>
  <si>
    <t>Ministère de l'environnement (ME)/ CITET</t>
  </si>
  <si>
    <t>Accroître la sensibilisation et l’usage (si nécessaire) des services proposés par l'AESM en soutien à la transposition, à la mise en œuvre et à l'application des lois après la ratification des Conventions internationales, dont l'IMSAS, dans le cadre du projet SAFEMED, y compris :</t>
  </si>
  <si>
    <t>% de PC sensibilisées à ces services proposés</t>
  </si>
  <si>
    <t>100 %</t>
  </si>
  <si>
    <t>● l'application et la mise en œuvre d'une législation européenne et internationale liée à l'environnement</t>
  </si>
  <si>
    <t>● les Services d'observation de la Terre développés et proposés par l'AESM</t>
  </si>
  <si>
    <t>SNSC</t>
  </si>
  <si>
    <t xml:space="preserve">● les Services d'avions pilotés à distance (RPA) de l'AESM, développés pour assister les opérations de surveillance maritime, pour soutenir les autorités impliquées dans la pollution maritime et surveiller les émissions </t>
  </si>
  <si>
    <t xml:space="preserve">Service National de Surveillance Côtière (SNSC) </t>
  </si>
  <si>
    <t>● les Services de lutte contre la pollution proposés par l'AESM</t>
  </si>
  <si>
    <t>Développer une plateforme d'apprentissage en ligne sur la prévention, la préparation et la réponse à la pollution marine.</t>
  </si>
  <si>
    <t>Développement d'une plateforme d'apprentissage en ligne</t>
  </si>
  <si>
    <t>technique</t>
  </si>
  <si>
    <t>formation, légal, investissement</t>
  </si>
  <si>
    <t>les institutions de la commission nationale, Secrétariat Général des Affaires Maritimes</t>
  </si>
  <si>
    <t>Accroître le nombre d'unités d'assistance méditerranéennes (UAM) du REMPEC en créant un réseau au sein des UAM et des PC par le biais du REMPEC.</t>
  </si>
  <si>
    <t>Nombre de MAU</t>
  </si>
  <si>
    <t>Ministère de l'environnement</t>
  </si>
  <si>
    <t xml:space="preserve">1.3 Opérations  </t>
  </si>
  <si>
    <t>1.3.1 Organiser des exercices nationaux annuels / biennaux (standard, simulation ; communications) pour tester les capacités nationales de lutte, la coopération et l'assistance mutuelle entre les Parties contractantes, l'Unité d'assistance méditerranéenne (UAM) du REMPEC, les services de lutte contre la pollution de l'AESM (le cas échéant), les exercices du secteur privé, etc.</t>
  </si>
  <si>
    <t>● Exercices nationaux grandeur nature</t>
  </si>
  <si>
    <t>Nombre d'exercices nationaux grandeur nature</t>
  </si>
  <si>
    <t>1 par an</t>
  </si>
  <si>
    <t xml:space="preserve">Tous les intervenants,  tous les 5 ans </t>
  </si>
  <si>
    <t>● Exercices de communication</t>
  </si>
  <si>
    <t>Nombre d'exercices de communication</t>
  </si>
  <si>
    <t xml:space="preserve">1 par an </t>
  </si>
  <si>
    <t xml:space="preserve">tous les intervenants </t>
  </si>
  <si>
    <t>● Exercices de simulation</t>
  </si>
  <si>
    <t>Nombre d'exercices de simulation</t>
  </si>
  <si>
    <t>1 tous les 2 ans</t>
  </si>
  <si>
    <t>Organiser des exercices sous-régionaux / régionaux / internationaux pour tester les modalités de coopération</t>
  </si>
  <si>
    <t>● Exercices</t>
  </si>
  <si>
    <t>Nombre d'exercices</t>
  </si>
  <si>
    <t>1 par sous-région tous les 2 ans</t>
  </si>
  <si>
    <t xml:space="preserve">Tous les intervenants </t>
  </si>
  <si>
    <t>● Exercices internationaux grandeur nature ou d’exercices de simulation</t>
  </si>
  <si>
    <t>Nombre d'exercices internationaux grandeur nature ou d’exercices de simulation</t>
  </si>
  <si>
    <t xml:space="preserve">Ministère des affaires étrangères tous les intervenants </t>
  </si>
  <si>
    <t>Élaborer et mettre en œuvre un processus pour tirer des enseignements identifiés lors d'accidents réels et d'exercices et intégrer le suivi dans les formations concernées et les exercices ultérieurs:</t>
  </si>
  <si>
    <t>●Développement réussi et mise en œuvre du processus</t>
  </si>
  <si>
    <t>Développement réussi et mise en œuvre du processus</t>
  </si>
  <si>
    <t>● Programmes de formation adaptés pour refléter les enseignements identifiés</t>
  </si>
  <si>
    <t>Nombre de programmes de formation adaptés pour refléter les enseignements identifiés</t>
  </si>
  <si>
    <t>● Exercices pour lesquels des enseignements précédemment identifiés sont abordés avec de nouvelles approches</t>
  </si>
  <si>
    <t>Nombre d'exercices pour lesquels des enseignements précédemment identifiés sont abordés avec de nouvelles approches</t>
  </si>
  <si>
    <t>1 exercice</t>
  </si>
  <si>
    <t>Personnes</t>
  </si>
  <si>
    <t>Élaborer un cadre pour la gestion holistique intégrée des incidents de pollution marine qui permette une préparation et une intervention coordonnées en mer et à terre, y compris l'intervention auprès des espèces sauvages touchées par les hydrocarbures, au niveau national et dans le cadre de la coopération régionale.</t>
  </si>
  <si>
    <t>Élaboration de lignes directrices, de formations et d'exercices sur la gestion intégrée des incidents de pollution marine.</t>
  </si>
  <si>
    <t xml:space="preserve">Établir des systèmes et des procédures de surveillance et de contrôle nationaux et sous-régionaux, y compris une opération régulière de surveillance aérienne individuelle ou coordonnée pour les rejets illicites de pollution par les navires en Méditerranée (OSCAR-MED) dans les eaux relevant de la juridiction des PC, si les PC en conviennent, et les résultats seront communiqués lors de la réunion du MENELAS </t>
  </si>
  <si>
    <t>Nombre d'OSCAR-MED</t>
  </si>
  <si>
    <t>1 OSCAR-MED par an</t>
  </si>
  <si>
    <t xml:space="preserve">Au niveau du plan national </t>
  </si>
  <si>
    <t>● Détentions de navires</t>
  </si>
  <si>
    <t>Nombre de détentions de navires</t>
  </si>
  <si>
    <t>Réduction de 50 % du nombre de navire détenus</t>
  </si>
  <si>
    <t>légale</t>
  </si>
  <si>
    <t>Accroître la sensibilisation et faciliter l’utilisation des Services d’observation de la Terre ainsi que des services des RPA développés et proposés par l’AESM</t>
  </si>
  <si>
    <t>% de PC sensibilisées aux services</t>
  </si>
  <si>
    <t>Faciliter l’utilisation de l’application maritime de l’AESM comme plateforme d’échange d’informations AIS partagée par les pays participants au MAREΣ</t>
  </si>
  <si>
    <t>Organiser et suivre l'analyse des campagnes d'inspection concentrées sur les déficiences liées à MARPOL</t>
  </si>
  <si>
    <t>Nombre d'inspections effectuées</t>
  </si>
  <si>
    <t>5 000 par an</t>
  </si>
  <si>
    <t>formation</t>
  </si>
  <si>
    <t>Utiliser les données recueillies dans le cadre de la base de données THETIS-Med pour produire des statistiques significatives concernant les déficiences liées à MARPOL.</t>
  </si>
  <si>
    <t>% de réduction des détentions</t>
  </si>
  <si>
    <t>5% par an</t>
  </si>
  <si>
    <t xml:space="preserve">Nombre d'analyses effectuées </t>
  </si>
  <si>
    <t xml:space="preserve">1.4 Gouvernance </t>
  </si>
  <si>
    <t>Renforcer la capacité de chaque État côtier à lutter efficacement contre les incidents de pollution marine en mer et sur terre grâce à la mise en place et à la mise à jour du système national de lutte contre la pollution marine, à l'élaboration et à la mise à jour d'un plan national d’urgence (PNU) ainsi que des accords opérationnels et plans d’urgence sous-régionaux.</t>
  </si>
  <si>
    <t>● systèmes nationaux reconnus et mis à jour</t>
  </si>
  <si>
    <t>% de PC ayant des systèmes nationaux reconnus et mis à jour</t>
  </si>
  <si>
    <t>OMMP</t>
  </si>
  <si>
    <t>● PNU mis à jour et adopté</t>
  </si>
  <si>
    <t>% de PC ayant un PNU mis à jour et adopté</t>
  </si>
  <si>
    <t>Mettre en place un réseau opérationnel de SCP et définir ainsi que mettre en œuvre des activités de synergie entre les SCP</t>
  </si>
  <si>
    <t xml:space="preserve">● SCP en vigueur
</t>
  </si>
  <si>
    <t xml:space="preserve">% de PC avec un SCP en vigueur
</t>
  </si>
  <si>
    <t>Au moins  80%</t>
  </si>
  <si>
    <t>● Activités SCP liées opérationnellement et de façon synergique définies et mises en œuvre</t>
  </si>
  <si>
    <t>Nombre d'activités SCP liées opérationnellement et de façon synergique définies et mises en œuvre</t>
  </si>
  <si>
    <t>Au moins  3</t>
  </si>
  <si>
    <t xml:space="preserve">Étendre le mandat du SCP à la prévention de pollution des navires  </t>
  </si>
  <si>
    <t>Nombre de SCP traitant les problèmes de prévention</t>
  </si>
  <si>
    <t>Mettre en place les modalités de création et de fonctionnement possibles, y compris en termes de gouvernance et de financement d'un « Fonds bleu » régional</t>
  </si>
  <si>
    <t>Date d'établissement officiel</t>
  </si>
  <si>
    <t>Ratifier et mettre en œuvre les instruments juridiques suivants, assurer leur transposition dans le droit national et coopérer pour assurer le plein respect de leurs dispositions :</t>
  </si>
  <si>
    <t>● Le Protocole relatif à la coopération en matière de prévention de la pollution par les navires et, en cas de situation critique, de lutte contre la pollution de la mer Méditerranée (« Protocole Prévention et situations critiques de 2002 »)</t>
  </si>
  <si>
    <t>Protocole Prévention et situations critiques de 2002</t>
  </si>
  <si>
    <t>Au moins 80 % pour chaque instrument</t>
  </si>
  <si>
    <t>● La Convention internationale pour la prévention de la pollution marine par les navires (MARPOL) et ses Annexes I, II, III et IV</t>
  </si>
  <si>
    <t xml:space="preserve">b)	MARPOL 
i.	Annexe I
ii.	Annexe II
iii.	Annexe III
iv.	Annexe IV </t>
  </si>
  <si>
    <t>●La Convention internationale sur la préparation, la lutte et la coopération en matière de pollution par les hydrocarbures (Convention OPRC 90)</t>
  </si>
  <si>
    <t>Convention OPRC</t>
  </si>
  <si>
    <t>●Le Protocole de 2000 sur la préparation, la lutte et la coopération contre les événements de pollution par les substances nocives et potentiellement dangereuses (Protocole OPRC-SNPD, 2000)</t>
  </si>
  <si>
    <t>Protocole OPRC-SNPD</t>
  </si>
  <si>
    <t>●La Convention internationale de 1992 sur la responsabilité civile pour les dommages dus à la pollution par les hydrocarbures (Convention CLC)</t>
  </si>
  <si>
    <t>Convention CLC</t>
  </si>
  <si>
    <t>● La Convention internationale de 2001 sur la responsabilité civile pour les dommages dus à la pollution par les hydrocarbures de soute (Convention Bunker) ;</t>
  </si>
  <si>
    <t>Convention Bunker</t>
  </si>
  <si>
    <t>● Le Fonds international d'indemnisation pour les dommages dus à la pollution par les hydrocarbures de 1992 (Fonds de 1992)</t>
  </si>
  <si>
    <t>Fonds de 1992</t>
  </si>
  <si>
    <t>● Le Protocole de 2010 à la Convention internationale de 1996 sur la responsabilité et l'indemnisation pour les dommages liés au transport par mer de substances nocives et potentiellement dangereuses (Protocole SNPD de 2010). (Pas encore en vigueur)</t>
  </si>
  <si>
    <t>Protocole SNPD de 2010</t>
  </si>
  <si>
    <t>1.6 Mise en œuvre</t>
  </si>
  <si>
    <t>Entreprendre le Programme d'audit des États Membres de l'OMI (IMSAS), en utilisant le Code III comme norme d'audit et en suivant le Cadre et les Procédures du Programme d'audit des États Membres de l'OMI, et mettre en oeuvre des mesures correctives pour combler les lacunes identifiées</t>
  </si>
  <si>
    <t>% des PC ayant entrepris le IMSAS et mis en oeuvre des mesures correctives pour combler les lacunes identifiées</t>
  </si>
  <si>
    <t>Au moins 100 %</t>
  </si>
  <si>
    <t>1.7 Application</t>
  </si>
  <si>
    <t>Mettre en place un cadre juridique national (réglementations) servant de base à la poursuite des contrevenants aux produits déversés pour des infractions aux Annexes I, II, III et IV de MARPOL</t>
  </si>
  <si>
    <t>% de PC avec un cadre juridique en place</t>
  </si>
  <si>
    <t>Au moins 80 %</t>
  </si>
  <si>
    <t>Utiliser le rapport commun de détection / recherche sur la pollution marine par les hydrocarbures</t>
  </si>
  <si>
    <t xml:space="preserve">% de PC utilisant le rapport </t>
  </si>
  <si>
    <t>Appliquer des critères pour un niveau minimal commun d'amendes pour chaque infraction prévue aux Annexes I, II, III et IV de MARPOL (sans préjudice du droit souverain de chaque État de définir librement le niveau des amendes pour les infractions commises au sein de sa juridiction).</t>
  </si>
  <si>
    <t>% de PC appliquant un niveau minimal commun d'amendes</t>
  </si>
  <si>
    <t xml:space="preserve">Au moins 80 % </t>
  </si>
  <si>
    <t>Mettre en place les modalités de création et de fonctionnement possibles, y compris en termes de gouvernance et de financement d'un « Fonds bleu » régional (se référer à la mesure 1.4.4)</t>
  </si>
  <si>
    <t>Montant perçu grâce aux amendes</t>
  </si>
  <si>
    <t>Montant à confirmer</t>
  </si>
  <si>
    <t>Améliorer l’efficacité du Mémorandum d’entente (MoU) sur le Contrôle par l’État du port (PSC) dans la région méditerranéenne (MoU méditerranéen) et faciliter la coopération entre le MoU de Paris et le MoU méditerranéen</t>
  </si>
  <si>
    <t>Nombre de réunions</t>
  </si>
  <si>
    <t xml:space="preserve">1.8 Installations de réception portuaire  </t>
  </si>
  <si>
    <t>Fournir des installations de réception adéquates dans les ports méditerranéens, permettant leur utilisation dès qu'elles sont disponibles à un prix raisonnable sans effet dissuasif pour les navires qui les utilisent pour l'élimination de :</t>
  </si>
  <si>
    <t>● déchets d’hydrocarbures</t>
  </si>
  <si>
    <t xml:space="preserve">% des principaux ports ayant établi des procédures de collecte, de traitement et d'élimination des eaux de cale, des résidus d’hydrocarbures et des eaux de ballast sales ; </t>
  </si>
  <si>
    <t xml:space="preserve">% des principaux ports ayant des procédures de collecte, de traitement et d'élimination des eaux de cale, des résidus d’hydrocarbures et des eaux de ballast sales en place </t>
  </si>
  <si>
    <t>● substances liquides nocives (NLS)</t>
  </si>
  <si>
    <t xml:space="preserve">% des principaux ports qui manipulent des NLS ayant établi des procédures de collecte, de traitement et d'élimination des NLS ; </t>
  </si>
  <si>
    <t>% des principaux ports ayant des procédures de collecte, de traitement et d'élimination des NLS en place.</t>
  </si>
  <si>
    <t>●eaux usées</t>
  </si>
  <si>
    <t>% des principaux ports ayant établi des procédures de collecte et de traitement des eaux usées ; et</t>
  </si>
  <si>
    <t>● eaux usées</t>
  </si>
  <si>
    <t>% des principaux ports ayant des procédures de collecte et de traitement des eaux usées en place.</t>
  </si>
  <si>
    <t>Suivre le développement international sur les techniques d’intervention en cas de déversement de carburant alternatif et fournir aux PC les directives et le renforcement des capacités nécessaires</t>
  </si>
  <si>
    <t>Développement des techniques d’intervention partagées avec les PC</t>
  </si>
  <si>
    <t>Sur approbation des documents concernés par l’OMI</t>
  </si>
  <si>
    <t>1.10 Moyens de lutte</t>
  </si>
  <si>
    <t>Disposer et maintenir des capacités d’intervention adéquates face à une pollution par hydrocarbures et/ou par des SNPD (aussi bien en ressources humaines qu’en équipement)</t>
  </si>
  <si>
    <t>● PC ayant effectué des évaluations nationales des capacités de lutte</t>
  </si>
  <si>
    <t>% des PC ayant effectué des évaluations nationales des capacités de lutte</t>
  </si>
  <si>
    <t>●  PC ayant des capacités de lutte adéquates contre la pollution par les hydrocarbures</t>
  </si>
  <si>
    <t>% de PC ayant des capacités de lutte adéquates contre la pollution par les hydrocarbures</t>
  </si>
  <si>
    <t>● PC disposant de capacités de lutte adéquates contre les SNPD</t>
  </si>
  <si>
    <t>% de PC disposant de capacités de lutte adéquates contre les SNPD</t>
  </si>
  <si>
    <t>● PC contribuant au parc d'équipements</t>
  </si>
  <si>
    <t>% de PC contribuant au parc d'équipements</t>
  </si>
  <si>
    <t>Mettre en place un ensemble de moyens de lutte contre la pollution par les hydrocabrures et les SNPD au niveau sous-régional et régional</t>
  </si>
  <si>
    <t>Groupe établi</t>
  </si>
  <si>
    <t>Sensibiliser aux services de lutte contre la pollution de l'AESM disponibles en Méditerranée.</t>
  </si>
  <si>
    <t>1.11 Moyens de surveillance et de contrôle</t>
  </si>
  <si>
    <t>Disposer et maintenir des capacités de surveillance et de contrôle adéquates</t>
  </si>
  <si>
    <t>● PC dotés de capacités de surveillance et de contrôle adéquates</t>
  </si>
  <si>
    <t>% de PC dotés de capacités de surveillance et de contrôle adéquates</t>
  </si>
  <si>
    <t xml:space="preserve">Au moins  50% </t>
  </si>
  <si>
    <t>●PC ayant accès à CleanSeaNet</t>
  </si>
  <si>
    <t>% de PC ayant accès à CleanSeaNet</t>
  </si>
  <si>
    <t>Accroître la sensibilisation sur les Services d'observation de la Terre développés et proposés par l'AESM et sur les services de RPA de l'AESM pour la surveillance</t>
  </si>
  <si>
    <t>Accroître la sensibilisation aux services de surveillance du trafic basés sur l’AIS proposés par l’AESM (p. ex. le SafeSeaNet Ecosystem Graphical User Interface (SEG)) et par les entités de coopération régionale (p. ex. le serveur AIS régional méditerranéen (MAREƩ)).</t>
  </si>
  <si>
    <t>Configurer un système de communication d'urgence commun pour toute la Méditerranée</t>
  </si>
  <si>
    <t>% de PC ayant accès au système commun</t>
  </si>
  <si>
    <t>Promouvoir, diffuser et corriger les recommandations, principes et lignes directrices existants, afin d'en élaborer de nouveaux visant à faciliter la mise en œuvre du Protocole Prévention et situations critiques de 2002, MARPOL (Annexe I, Annexe II, Annexe III, Annexe IV), la Convention OPRC, le Protocole OPRC-SNPD, la Convention CLC, la Convention Bunker, et le Protocole SNPD de 2010</t>
  </si>
  <si>
    <t>PARTAGE DE L'INFORMATION  ET DES CONNAISSANCES  AND KNOWLEDGE SHARING</t>
  </si>
  <si>
    <t xml:space="preserve">1.12 Normes / Directives </t>
  </si>
  <si>
    <t xml:space="preserve">PARTAGE DE L'INFORMATION  ET DES CONNAISSANCES </t>
  </si>
  <si>
    <t>● Lignes directrices révisées et/ou mises à jour</t>
  </si>
  <si>
    <t>Nombre de lignes directrices révisées et/ou mises à jour</t>
  </si>
  <si>
    <t>À définir par le MTWG</t>
  </si>
  <si>
    <t>● Téléchargements de directives par an</t>
  </si>
  <si>
    <t>Nombre de téléchargements de directives par an</t>
  </si>
  <si>
    <t xml:space="preserve">Envisager des lignes directrices régionales en matière de soutien aux pays d'accueil (un chapitre spécifique pourrait être inclus dans le Guide méditerranéen de la coopération et de l'assistance mutuelle). </t>
  </si>
  <si>
    <t>Appliquer les directives existantes et nouvelles, en particulier :</t>
  </si>
  <si>
    <t>● Le Guide pour la lutte contre la pollution marine accidentelle en Méditerranée. (REMPEC, 2000)</t>
  </si>
  <si>
    <t>% de PC ayant appliqué ces directives</t>
  </si>
  <si>
    <t>● Les Lignes directrices pour l'utilisation des dispersants dans la lutte contre la pollution du milieu marin par les hydrocarbures en Méditerranée (REMPEC, 2011)</t>
  </si>
  <si>
    <t>● Les Lignes directrices méditerranéennes sur l’évaluation des littoraux pollués par les hydrocarbures (REMPEC, 2009)</t>
  </si>
  <si>
    <t>● Les Lignes directrices pour la gestion des déchets issus de déversements d'hydrocarbures en Méditerranée (REMPEC, 2012)</t>
  </si>
  <si>
    <t>● L'importance des fiches de données de sécurité (REMPEC, 2001)</t>
  </si>
  <si>
    <t>● Les équipements de protection individuelle et les dispositifs de surveillance pour les urgences chimiques maritimes (REMPEC, 2003)</t>
  </si>
  <si>
    <t>●La Théorie et pratique d’utilisation d'écume dans le cadre d’opération de lutte contre des pollutions chimiques (REMPEC, 1992)</t>
  </si>
  <si>
    <t xml:space="preserve">PARTAGE DE L'INFORMATION  ET DES CONNAISSANCES  </t>
  </si>
  <si>
    <t>● Les risques associés aux déversements de gaz résultant d’accidents maritimes (REMPEC, 2018)</t>
  </si>
  <si>
    <t>● Le Guide pratique pour les déversements de produits chimiques en mer (REMPEC, 2000))</t>
  </si>
  <si>
    <t>●Le Guide méditerranéen sur la coopération et l’assistance mutuelle pour l’intervention d’urgence en cas d’évènement de pollution marine (REMPEC, 2018)</t>
  </si>
  <si>
    <t>● Le Manuel sur l’évaluation des littoraux pollués par les hydrocarbures (POSOW, 2013)</t>
  </si>
  <si>
    <t>● Le Manuel sur le nettoyage des littoraux pollués par les hydrocarbures (POSOW, 2013)</t>
  </si>
  <si>
    <t>● Le Manuel sur la gestion des volontaires lors d'un déversement d'hydrocarbures (POSOW, 2013)</t>
  </si>
  <si>
    <t>● Le Manuel sur la sauvegarde de la faune et la flore polluées par les hydrocarbures (POSOW, 2013)</t>
  </si>
  <si>
    <t>● Le Manuel de gestion des déversements d'hydrocarbures (POSOW, 2016)</t>
  </si>
  <si>
    <t>● Le Manuel d’aide aux pêcheurs dans la lutte contre les déversements d'hydrocarbures (POSOW, 2016)</t>
  </si>
  <si>
    <t xml:space="preserve">● Le Manuel d’intervention contre les SNPD (2021) </t>
  </si>
  <si>
    <t>● Le Manuel sur l'évaluation des risques de déversement d'hydrocarbures et des moyens de lutte (édition de 2010)</t>
  </si>
  <si>
    <t>● Le Manuel de l’OMI/PNUE sur l'évaluation des dommages causés à l'environnement par les déversements d'hydrocarbures en mer et la restauration du milieu (édition de 2009)</t>
  </si>
  <si>
    <t>● Les Directives pour la mise en œuvre d'un système de gestion des incidents (IMS) (édition de 2012)</t>
  </si>
  <si>
    <t>● Les Directives pour une exploitation en toute sécurité des matériels de lutte contre la pollution par les hydrocarbures (2017)</t>
  </si>
  <si>
    <t>● Les Directives pour la lutte contre les déversements d'hydrocarbures dans les courants rapides (édition de 2013)</t>
  </si>
  <si>
    <t>● La Biodépollution des déversements marins d’hydrocarbures (édition de 2004)</t>
  </si>
  <si>
    <t>●Les Directives pour l'élaboration de plans d'urgence de bord contre la pollution des mers (édition de 2010)</t>
  </si>
  <si>
    <t>● Les Directives de l’OMI/FAO sur la gestion de la sécurité des produits de la mer pendant et après le déversement d’hydrocarbures (édition de 2002)</t>
  </si>
  <si>
    <t>● Manuel sur la pollution chimique :
o	Section 1 – Évaluation des problèmes et modalités d'intervention (édition de 1999)
o	Section 2 – Recherche et récupération des marchandises emballées perdues en mer (édition de 2007)</t>
  </si>
  <si>
    <t>●Le Guide pratique pour l'intervention en cas de déversement d'hydrocarbures dans les eaux tropicales (édition de 1997)</t>
  </si>
  <si>
    <t>● Le guide sur la mise en œuvre de la Convention OPRC et du Protocole OPRC-SNPD (édition de 2010)</t>
  </si>
  <si>
    <t>● Le Manuel de REMPEC de l'Accord de Bonn d'Helcom pour la lutte contre les SNPD marines</t>
  </si>
  <si>
    <t xml:space="preserve">% of PCs having applied these guidelines </t>
  </si>
  <si>
    <t>● D'autres directives pertinentes disponibles, ainsi que tout document pertinent produit, incluant les leçons apprises des précédents accidents.</t>
  </si>
  <si>
    <t xml:space="preserve">1.13 Outils d’aide à la prise de décision  </t>
  </si>
  <si>
    <r>
      <rPr>
        <sz val="12"/>
        <color rgb="FF000000"/>
        <rFont val="Calibri Light"/>
        <family val="2"/>
        <charset val="1"/>
      </rPr>
      <t xml:space="preserve">Améliorer la qualité, la rapidité et l'efficacité du processus de prise de décision par la maintenance, la mise à jour, la mise à niveau, le développement et l'interconnexion d'outils techniques et d'aide à la décision, notamment :
</t>
    </r>
    <r>
      <rPr>
        <sz val="10.5"/>
        <color rgb="FF000000"/>
        <rFont val="Calibri Light"/>
        <family val="2"/>
        <charset val="1"/>
      </rPr>
      <t>a)	Le Système de déclaration de la Convention de Barcelone (BCRS) 
b)	Le Profil des pays du REMPEC
c)	Le Système d'information du MENELAS
d)	Le Système maritime intégré d'information et d'aide à la décision sur le transport des substances chimiques (MIDSIS-TROCS) 
e)	Le Système d'information géographique intégré méditerranéen pour l’évaluation du risque et la lutte contre la pollution marine (MEDGIS-MAR)
f)	L’Outil d’aide à la décision relatif à la gestion des déchets issus de la pollution par les hydrocarbures en Méditerranée (gestion des déchets)
g)	Le Système commun de communication et d’information d'urgence (CECIS)
h)	Le système de surveillance et d’information du trafic maritime SafeSeaNet de l’UE, couvrant les eaux de l'UE et ses environs 
i)	Les données et images des satellites d'observation de la Terre (Services CleanSeaNet et Copernicus)
j)	THETIS-Med
k)	Le Groupe de travail méditerranéen des experts de l'AIS (MAREΣ)
l)	Le Système mondial intégré de renseignements maritimes (GISIS)</t>
    </r>
  </si>
  <si>
    <t>Nombre d'outils d'aide à la décision maintenus, mis à jour et mis à niveau</t>
  </si>
  <si>
    <t>Améliorer la qualité, la rapidité et l'efficacité du processus de prise de décision par la maintenance, la mise à jour, la mise à niveau, le développement et l'interconnexion d'outils techniques et d'aide à la décision (listées au point 1.13.a)</t>
  </si>
  <si>
    <t>Nombre d’outils d'aide à la décision développés</t>
  </si>
  <si>
    <t xml:space="preserve">À définir  </t>
  </si>
  <si>
    <t>Mettre à jour les informations spécifiques aux pays sur l'outil d'aide à la décision existant et nouveau, notamment les BCRS, les profils de pays du REMPEC, le système d'information MENELAS, MEDGIS-MAR, la gestion des déchets et le CECIS.</t>
  </si>
  <si>
    <t>●  PC ayant mis à jour les informations nationales pour chaque outil d’aide à la décision</t>
  </si>
  <si>
    <t>% de PC ayant mis à jour les informations nationales pour chaque outil d’aide à la décision</t>
  </si>
  <si>
    <t>●  PC utilisant chaque outil d'aide à la décision</t>
  </si>
  <si>
    <t>% de PC utilisant chaque outil d'aide à la décision</t>
  </si>
  <si>
    <t>1.14 Obligations de surveillance et de déclaration</t>
  </si>
  <si>
    <t>Établir un système de notification au prochain port d'escale d'un navire de l'état de sa rétention à bord des eaux de cale, des déchets huileux, des résidus HNS, des eaux usées, des ordures, des substances appauvrissant la couche d'ozone et des résidus de nettoyage des gaz d'échappement ;</t>
  </si>
  <si>
    <t>Date d'établissement</t>
  </si>
  <si>
    <t>Assurer le respect des obligations de déclaration en vertu de la Convention de Barcelone et du Protocole Prévention situations critiques de 2002 en faisant état des mesures prises par le biais des BCRS et des bases de données de déclaration interreliées, telles que l’IMAP et le MEDGIS-MAR, notamment :</t>
  </si>
  <si>
    <t>● Tous les incidents ;</t>
  </si>
  <si>
    <t>% de PC ayant déclaré des mesures sur les BCRS</t>
  </si>
  <si>
    <t>● La présence, les caractéristiques et l'étendue des déversements d'hydrocarbures et de SNPD ;</t>
  </si>
  <si>
    <t>●Informer immédiatement toutes les PC susceptibles d'être affectées par l'incident ;</t>
  </si>
  <si>
    <t xml:space="preserve">● Continuer à observer la situation aussi longtemps que possible ; </t>
  </si>
  <si>
    <t>● POLREP (POLWARN, POLINE et POLFAC) ; et</t>
  </si>
  <si>
    <t>● Informations relatives aux rejets illicites sur le MEDGIS-MAR</t>
  </si>
  <si>
    <t>Se conformer aux exigences de déclaration de l'OMI (SOLAS, MARPOL, OPRC-90 et le Protocole OPRC-SNPD), notamment :</t>
  </si>
  <si>
    <t>● Le Système de déclaration obligatoire en vertu de MARPOL (MEPC/Circ.318)</t>
  </si>
  <si>
    <t>% de PC conformes au GISIS de l’OMI et à d'autres exigences en matière de déclarations</t>
  </si>
  <si>
    <t>● Le Programme d'évaluation des conditions</t>
  </si>
  <si>
    <t>● Les équipements de prévention de la pollution</t>
  </si>
  <si>
    <t>● Les Points de contact</t>
  </si>
  <si>
    <t>● Les Accidents et incidents maritimes</t>
  </si>
  <si>
    <t>●Le Contrôle par l’État du port</t>
  </si>
  <si>
    <t>● Les informations sur l'assistance pouvant être mises à disposition par d'autres États ; et</t>
  </si>
  <si>
    <t>● Les Copies d'accords bilatéraux ou multilatéraux.</t>
  </si>
  <si>
    <t>Mettre à jour le MEDGIS-MAR (Le système intégré d'information géographique méditerranéen sur l'évaluation des risques de pollution marine et la lutte contre celle-ci)  sur la base de l'inventaire national des équipements d'intervention</t>
  </si>
  <si>
    <t>% de PC ayant partagé leurs équipements</t>
  </si>
  <si>
    <t>Pour rationaliser davantage les procédures de rapport</t>
  </si>
  <si>
    <t>Nombre de systèmes de rapport</t>
  </si>
  <si>
    <t>1.15 Recherche et développement</t>
  </si>
  <si>
    <t>Aider les institutions régionales et l'industrie à identifier les domaines de recherche pour lesquels il est nécessaire d'améliorer les technologies et techniques de pointe en matière de prévention, de préparation et d'intervention en cas de pollution marine.</t>
  </si>
  <si>
    <t>% de PC ayant partagé les résultats de leurs recherchesv</t>
  </si>
  <si>
    <t>Encourager les institutions scientifiques et techniques, ainsi que l'industrie, à participer activement aux activités et programmes de recherche et de développement liés à la prévention, à la préparation et à l'intervention en cas de pollution marine accidentelle, et à partager systématiquement les résultats de leurs recherches avec tous les États côtiers méditerranéens</t>
  </si>
  <si>
    <t>% de PC ayant partagé les résultats de leurs recherches</t>
  </si>
  <si>
    <t>OSC 2 - Promouvoir et soutenir le développement et la mise en œuvre de solutions novatrices mondiales pour réduire et lutter contre le changement climatique</t>
  </si>
  <si>
    <t>OSC 2</t>
  </si>
  <si>
    <t>2.1 Réseaux</t>
  </si>
  <si>
    <t>Participer activement aux groupes de travail régionaux et mondiaux existants établis pour réduire les émissions de GES des navires, notamment le Groupe de travail de l'OMI sur la réduction des émissions de GES des navires et le réseau mondial des Centres de coopération de technologie maritime (MTCC), ainsi que les Programmes régionaux marins (HELCOM, OSPAR, accord de Bonn)</t>
  </si>
  <si>
    <t>% de PC participant aux groupes de travail régionaux et mondiaux existants</t>
  </si>
  <si>
    <t>Au moins  50%</t>
  </si>
  <si>
    <t>2.2 Renforcement des capacités / Coopération technique</t>
  </si>
  <si>
    <t>Accroître autant que possible le niveau de connaissances dans le domaine de la réduction des émissions de GES des navires en fournissant une assistance technique et des activités de renforcement des capacités portant sur:</t>
  </si>
  <si>
    <t>● L’Évaluation rapide des émissions des navires en contexte national</t>
  </si>
  <si>
    <t>● L’Incorporation de l'Annexe VI de MARPOL dans le droit national</t>
  </si>
  <si>
    <t>● L’Élaboration d'une stratégie nationale de réduction des émissions des navires</t>
  </si>
  <si>
    <t>● L’Évaluation des émissions portuaires</t>
  </si>
  <si>
    <t>● L’Élaboration de stratégies de réduction des émissions portuaires</t>
  </si>
  <si>
    <t>● L’Enquête sur les mesures de contrôle appropriées (technologies de réduction) dans le but de réduire les émissions de carbone suie provenant du transport maritime international</t>
  </si>
  <si>
    <t>● Les formations de l'OMI à destination des formateurs (TTT) relatives à la gestion des navires économes en énergie</t>
  </si>
  <si>
    <t>% de PSCO de la PC formés pour l'Annexe VI</t>
  </si>
  <si>
    <t>D'ici 2030, les PSCO de toutes les PC seront formés pour l’Annexe VI de MARPOL.</t>
  </si>
  <si>
    <t>● Le Cours type de l’OMI sur le rendement énergétique des navires en cours d'exploitation 4.05</t>
  </si>
  <si>
    <t>Academie navale</t>
  </si>
  <si>
    <t>● D’autres programmes de formation adéquats sur les émissions de GES, l’Indice nominal de rendement énergétique (EEDI), le Plan de gestion du rendement énergétique du navire (SEEMP) ;</t>
  </si>
  <si>
    <t>●La mise en œuvre de l’application des instruments par l'État du pavillon (FSI) et du PSC (Med MoU et MoU de Paris)</t>
  </si>
  <si>
    <t>● Le règlement MRV de l'UE (règlement 2015/757 du Parlement européen et du Conseil) relatif à la surveillance, à la déclaration et à la vérification des émissions de dioxyde de carbone provenant des transports maritimes</t>
  </si>
  <si>
    <t>●Les exigences de déclaration au THETIS MRV, permettant aux entreprises responsables de l'exploitation de gros navires utilisant des ports de l'UE de déclarer leurs émissions de CO2 en vertu du règlement (UE) 2015/757 relatif à la surveillance, à la déclaration et à la vérification des émissions de CO2 provenant du transport maritime.</t>
  </si>
  <si>
    <t>Promouvoir les technologies et les actions pour améliorer l'efficacité énergétique dans le secteur maritime, en s'appuyant sur l'expérience des Centres de coopération de technologie maritime (MTCC)</t>
  </si>
  <si>
    <t>Ministère de l'Industrie, des Mines et de l'Energie</t>
  </si>
  <si>
    <t>% de PC sensibilisées aux nouvelles technologies et opérations</t>
  </si>
  <si>
    <t>Utiliser la prestation de services de soutien à la transposition, la mise en œuvre et l'exécution suite à la ratification des conventions internationales offertes dans le cadre du projet SAFEMED.</t>
  </si>
  <si>
    <t>% de PC utilisant ces services</t>
  </si>
  <si>
    <t>Contribuer à la mise en place éventuelle de grands projets financés par des sources extérieures sous les auspices de l'OMI en soutien à la Stratégie initiale de l'OMI sur la réduction des émissions de GES des navires, tel que le projet en cours GreenVoyage2050 de l’OMI et de la Norvège, et leur mise en œuvre ultérieure en Méditerranée, le cas échéant</t>
  </si>
  <si>
    <t>Nombre de PC contribuantes</t>
  </si>
  <si>
    <t>Au moins 2</t>
  </si>
  <si>
    <t xml:space="preserve">2.3 Opérations  </t>
  </si>
  <si>
    <t>Organiser des campagnes de surveillance des émissions des navires</t>
  </si>
  <si>
    <t>Nombre de campagnes</t>
  </si>
  <si>
    <t xml:space="preserve">2.4 Gouvernance  </t>
  </si>
  <si>
    <t>2.4.1 Soutenir la mise en œuvre de la « Stratégie initiale de l'OMI concernant la réduction des émissions de GES provenant des navires » (Res. MEPC.304(72))</t>
  </si>
  <si>
    <t>% du PC mettant en œuvre la Stratégie initiale de l'OMI concernant la réduction des émissions de GES provenant des navires</t>
  </si>
  <si>
    <t>Inclure l'application de l'Annexe VI de MARPOL dans le contexte de la mise en place des modalités de création et de fonctionnement possibles, y compris en termes de gouvernance et de financement d'un « Fonds bleu » régional</t>
  </si>
  <si>
    <t>Modalités de création et de fonctionnement possibles, y compris en termes de gouvernance et de financement d'un « Fonds bleu » régional</t>
  </si>
  <si>
    <t>Adoptée</t>
  </si>
  <si>
    <t>Ratifier et mettre en œuvre l'Annexe VI de MARPOL, assurer sa transposition dans le droit national et coopérer pour assurer le plein respect de ses dispositions</t>
  </si>
  <si>
    <t xml:space="preserve">% de PC ayant ratifié, transposé et fait appliquer : MARPOL Annexe VI </t>
  </si>
  <si>
    <t>2.6 Mise en œuvre</t>
  </si>
  <si>
    <t>Mettre en œuvre le Programme d'audit des États Membres de l'OMI (IMSAS), en utilisant le Code III comme norme d'audit et en suivant le Cadre et les Procédures du Programme d'audit des États Membres de l'OMI, et mettre en oeuvre des mesures correctives pour combler les lacunes identifiées</t>
  </si>
  <si>
    <t>● PC ayant mis en œuvre le IMSAS et mis en œuvre des mesures correctives pour combler les lacunes identifiées</t>
  </si>
  <si>
    <t>% de PC ayant mis en œuvre le IMSAS et mis en œuvre des mesures correctives pour combler les lacunes identifiées</t>
  </si>
  <si>
    <t xml:space="preserve">● navires conformes aux exigences de l'Annexe VI de MARPOL </t>
  </si>
  <si>
    <t xml:space="preserve">% de navires conformes aux exigences de l'Annexe VI de MARPOL </t>
  </si>
  <si>
    <t xml:space="preserve">● administrations des PC étant efficaces dans l'exercice de toutes leurs responsabilités et obligations en vertu de l'Annexe VI de MARPOL </t>
  </si>
  <si>
    <t xml:space="preserve">% des administrations des PC étant efficaces dans l'exercice de toutes leurs responsabilités et obligations en vertu de l'Annexe VI de MARPOL </t>
  </si>
  <si>
    <t>Se conformer aux exigences techniques et opérationnelles obligatoires qui s'appliquent aux navires de 400 GT et plus, c'est-à-dire l'EEDI, applicable aux nouveaux navires, qui fixe un niveau minimal d'efficacité énergétique pour les travaux entrepris (p. ex. émissions de CO2 par tonne mille) pour différents types et tailles de navires, et le SEEMP, applicable à tous les navires</t>
  </si>
  <si>
    <t>% de navires transitant dans la région méditerranéenne construits en 2025 étant au moins 30 % plus économes en énergie que ceux construits en 2014</t>
  </si>
  <si>
    <t>2.7 Application</t>
  </si>
  <si>
    <t>Définir l'assistance technique, les conseils et les connaissances appropriés nécessaires à la mise en place d'un cadre juridique national (règlements) pour la poursuite des contrevenants en cas d'infractions à l'Annexe VI de MARPOL, par l'intermédiaire du MENELAS</t>
  </si>
  <si>
    <t>% de PC contribuant à la définition de l'assistance technique, des conseils et des connaissances appropriés nécessaires</t>
  </si>
  <si>
    <t xml:space="preserve">Mettre en place un cadre juridique national (règlements) comme base pour la poursuite des contrevenants pour les infractions à l'Annexe VI de MARPOL </t>
  </si>
  <si>
    <t>% de PC ayant un cadre juridique en place</t>
  </si>
  <si>
    <t xml:space="preserve">2.8 Installations de réception portuaire  </t>
  </si>
  <si>
    <t>Fournir des installations de réception adéquates dans les ports méditerranéens permettant leur utilisation dès qu'elles sont disponibles, à un prix raisonnable et non dissuasif, pour les substances appauvrissant la couche d'ozone et les résidus d’épuration des gaz d'échappement</t>
  </si>
  <si>
    <t>● principaux ports ayant établi des procédures de collecte et de traitement pour les substances appauvrissant la couche d'ozone et les résidus d’épuration des gaz d'échappement</t>
  </si>
  <si>
    <t>% des principaux ports ayant établi des procédures de collecte et de traitement pour les substances appauvrissant la couche d'ozone et les résidus d’épuration des gaz d'échappement</t>
  </si>
  <si>
    <t>● principaux ports ayant mis en place des procédures de collecte et de traitement pour ces substances et résidus</t>
  </si>
  <si>
    <t>% des principaux ports ayant mis en place des procédures de collecte et de traitement pour ces substances et résidus</t>
  </si>
  <si>
    <t xml:space="preserve">2.9 Énergies alternatives / Nouvelles technologies </t>
  </si>
  <si>
    <t>Promouvoir l'usage de carburants à zéro émission et mettre en place les installations associées</t>
  </si>
  <si>
    <t>% d'installations adéquates disponibles en région méditerranéenne</t>
  </si>
  <si>
    <t>Promouvoir une norme d'accostage à zéro émission</t>
  </si>
  <si>
    <t>% de PC disposant d'une norme d'accostage à zéro émission en place</t>
  </si>
  <si>
    <t xml:space="preserve">Fournir des alimentations électriques terrestre adéquates </t>
  </si>
  <si>
    <t>% de PC ayant une alimentation électrique terrestre en place.</t>
  </si>
  <si>
    <t>2.11 Moyens de surveillance et de contrôle</t>
  </si>
  <si>
    <t>Disposer et maintenir des capacités de surveillance et de contrôle adéquates, y compris, si possible, l'accès aux Services d'avions pilotés à distance (RPA)</t>
  </si>
  <si>
    <t>% de PC ayant des capacités de surveillance et de contrôle</t>
  </si>
  <si>
    <t>PARTAGE DE L'INFORMATION  ET DES CONNAISSANCES AND KNOWLEDGE SHARING</t>
  </si>
  <si>
    <t xml:space="preserve">2.12 Normes / Directives </t>
  </si>
  <si>
    <t>Promouvoir, diffuser et réviser les recommandations, principes et lignes directrices existants, afin d'en élaborer de nouveaux visant à faciliter la mise en œuvre de l'Annexe VI de MARPOL</t>
  </si>
  <si>
    <t xml:space="preserve">% de PC ayant téléchargé/reçu ces directives </t>
  </si>
  <si>
    <t>● Volume n°1 du guide du GloMEEP sur les émissions provenant des navires : Évaluation rapide des émissions provenant des navires dans le contexte national</t>
  </si>
  <si>
    <t>2.12.2b</t>
  </si>
  <si>
    <t>● Volume n°2 du guide du GloMEEP sur les émissions provenant des navires : Transposition de l'Annexe VI de MARPOL dans le droit national</t>
  </si>
  <si>
    <t>2.12.2c</t>
  </si>
  <si>
    <t>● Volume n°3 du guide du GloMEEP sur les émissions provenant des navires : Élaboration de stratégies nationales pour la lutte contre les émissions provenant des navires</t>
  </si>
  <si>
    <t>2.12.2d</t>
  </si>
  <si>
    <t>● Volume n°1 du guide du GloMEEP sur les émissions portuaires : Évaluation des émissions portuaires</t>
  </si>
  <si>
    <t>● Volume n°2 du guide du GloMEEP sur les émissions portuaires : Élaboration de stratégies de réduction des émissions</t>
  </si>
  <si>
    <t>● Directives de 2014 sur la méthode de calcul de l'indice nominal de rendement énergétique (EEDI) obtenu applicable aux navires neufs, version modifiée (résolution MEPC.245(66)) ;</t>
  </si>
  <si>
    <t>● g)	Directives de 2016 pour l’élaboration du plan de gestion du rendement énergétique du navire (SEEMP) (résolution MEPC.282(70)) ;</t>
  </si>
  <si>
    <t>● Directives de 2014 sur l'étude et la certification de l'indice nominal de rendement énergétique (EEDI), version modifiée (résolution MEPC.254(67)) ;</t>
  </si>
  <si>
    <t>●Directives de 2013 pour le calcul des lignes de référence à utiliser avec l'indice nominal de rendement énergétique (EEDI) (résolution MEPC.231(65)) ;</t>
  </si>
  <si>
    <t>● Directives de 2018 sur la méthode de calcul de l'indice nominal de rendement énergétique (EEDI) obtenu applicable aux navires neufs (MEPC.308(73) ;</t>
  </si>
  <si>
    <t>Élaborer des lignes directrices pour l'application des énergies alternatives</t>
  </si>
  <si>
    <t>Lignes directrices élaborées</t>
  </si>
  <si>
    <t xml:space="preserve">2.13 Outils d’aide à la prise de décision </t>
  </si>
  <si>
    <t>Accroître la sensibilisation aux outils d'aide à la décision disponibles pour les PC et l'industrie, en particulier ceux développés dans le cadre des projets GloMEEP et "Capacity Building for Climate Mitigation in the Maritime Shipping Industry - The Global MTCC Network (GMN)".</t>
  </si>
  <si>
    <t>Accroître la sensibilisation à tous les outils d'aide à la prise de décision mis à la disposition des PC et de l’industrie, en particulier ceux développés au sein des projets GloMEEP et « Renforcement des capacités de l’industrie maritime pour l'atténuation du changement climatique – Le réseau mondial de MTCC (GMN) »</t>
  </si>
  <si>
    <t>Établir un système de notification au prochain port d'escale d'un navire de l'état de sa rétention à bord de substances appauvrissant la couche d'ozone et de résidus de nettoyage des gaz d'échappement ;</t>
  </si>
  <si>
    <t>2.14 Obligations de surveillance et de déclaration</t>
  </si>
  <si>
    <t>Se conformer aux obligations de déclaration en vertu de la règle 22 de l'Annexe VI de MARPOL, en tenant compte des notes d'orientation énoncées dans les documents MEPC.320(74), MEPC.282(70), MEPC.292(71), MEPC.293(71),</t>
  </si>
  <si>
    <t>% de PC ayant respecté l’obligation de déclaration</t>
  </si>
  <si>
    <t>2.15 Recherche et développement</t>
  </si>
  <si>
    <t>Soutenir la recherche et le développement afin d'améliorer le rendement énergétique du transport maritime international</t>
  </si>
  <si>
    <t>% de PC participant à des activités de recherche et de développement</t>
  </si>
  <si>
    <t>Fournir une aide aux institutions régionales et à l'industrie dans l'identification des domaines de recherche dans lesquels il est nécessaire d’améliorer le rendement énergétique du transport maritime international</t>
  </si>
  <si>
    <t>Encourager les institutions scientifiques et techniques, ainsi que l'industrie, à participer activement aux activités et programmes de recherche et de développement liés au rendement énergétique du transport maritime international et à partager systématiquement les résultats de leurs recherches avec tous les États côtiers méditerranéens</t>
  </si>
  <si>
    <t>Promouvoir et diffuser des études pertinentes sur le rendement énergétique du transport maritime international, notamment :
a)	L’étude des mesures de contrôle des émissions et du rendement énergétique pour les navires dans la zone portuaire
b)	L'étude sur les mesures de contrôle des émissions et de l'efficacité énergétique des navires dans la zone portuaire
c)	L’étude sur l'optimisation de la consommation d'énergie dans le cadre de la mise en œuvre d'un plan de gestion du rendement énergétique du navire (SEEMP)
d)	Les études sur la faisabilité et l'utilisation des carburants à zéro émission (tels que l'hydrogène vert et l'ammoniac vert) pour le transport maritime
e)	L’enquête sur les mesures de contrôle appropriées (technologies de réduction) dans le but de réduire les émissions de carbone suie provenant du transport maritime international
f)	La troisième étude de l'OMI sur les gaz à effet de serre datant de 2014
g)	La quatrième étude de l'OMI sur les gaz à effet de serre datant de 2020</t>
  </si>
  <si>
    <t>% de PC étant au courant de ces études</t>
  </si>
  <si>
    <t>Évaluer la contribution du secteur de la navigation à l'acidification de la mer</t>
  </si>
  <si>
    <t>Nombre de rapports préparés sur l'acidification de la mer</t>
  </si>
  <si>
    <t>1 rapport préparé</t>
  </si>
  <si>
    <t>OSC 3 - Réduire et surveiller les émissions atmosphériques des navires à un niveau non nocif pour l'environnement marin et pour la santé de la population côtière de la Méditerranée</t>
  </si>
  <si>
    <t>OSC 3</t>
  </si>
  <si>
    <t>3.1 Réseaux</t>
  </si>
  <si>
    <t>Participer activement aux groupes de travail mondiaux et régionaux existants mis en place pour réduire les émissions de SOx et de NOx des navires, notamment les comités techniques d'experts SOx/NOx, le MENELAS, le Groupe de travail de l'OMI sur la réduction des émissions de GES des navires, le réseau mondial des centres de coopération de technologie maritime (MTCC) et des programmes des mers régionales (HELCOM, OSPAR, Accord de Bonn)</t>
  </si>
  <si>
    <t>% de PC participant aux groupes de travail mondiaux et régionaux existants</t>
  </si>
  <si>
    <t>3.2 Renforcement des capacités / Coopération technique</t>
  </si>
  <si>
    <t>Accroître autant que possible le niveau de connaissances dans le domaine des exigences de la zone de contrôle des émissions de SOx et de NOx en vertu de l'Annexe VI de MARPOL en fournissant une assistance technique et des activités de renforcement des capacités</t>
  </si>
  <si>
    <t>% de personnel formé</t>
  </si>
  <si>
    <t>2 membres du personnel nouvellement formés par pays</t>
  </si>
  <si>
    <t xml:space="preserve">Accroître, dans la mesure du possible, le niveau de connaissance dans le domaine des exigences en matière de SOx en vertu de la directive (UE) 2016/802 relative à une réduction de la teneur en soufre de certains combustibles liquides, ainsi que des outils et des services pertinents développés par l'AESM (THETIS-EU / RPAS) pour sa mise en œuvre. </t>
  </si>
  <si>
    <t>Accroître la sensibilisation et l'utilisation, si nécessaire, des services mis à disposition par l'AESM pour soutenir la transposition, la mise en œuvre et l'application suite à la ratification des conventions internationales dans le cadre du projet SAFEMED.</t>
  </si>
  <si>
    <t>Accroître la sensibilisation et l'utilisation, si nécessaire, des services mis à disposition par l'AESM dans le but d'étendre la coopération dans le domaine de la directive 2002/59/CE - VTMIS (telle que modifiée).</t>
  </si>
  <si>
    <t xml:space="preserve">Nombre dePCs connaissant ces services </t>
  </si>
  <si>
    <t>Accroître la sensibilisation / les connaissances sur l'acidification de la mer et son impact sur les écosystèmes marins.</t>
  </si>
  <si>
    <t>Ministère de l'agriculture (INSTM)</t>
  </si>
  <si>
    <t>Diffusion de rapport(s) sur l'impact de l'acidification de la mer</t>
  </si>
  <si>
    <t>Au moins 1 rapport diffusé aux PC</t>
  </si>
  <si>
    <t xml:space="preserve">3.3 Opérations </t>
  </si>
  <si>
    <t>Nombre de PC participantes</t>
  </si>
  <si>
    <t xml:space="preserve">3.4 Gouvernance  </t>
  </si>
  <si>
    <t>Soutenir la mise en œuvre de la « Décision IG. 24/8 relative à la Feuille de route pour une proposition de désignation éventuelle de la mer Méditerranée dans son ensemble en tant que zone de contrôle des émissions d'oxydes de soufre en vertu de l’Annexe VI de MARPOL, dans le cadre de la Convention de Barcelone ».</t>
  </si>
  <si>
    <t>État d'avancement de la mise en œuvre de la Décision IG. 24/8</t>
  </si>
  <si>
    <t>Mis en œuvre à 100 %</t>
  </si>
  <si>
    <t>Convenir d'une Feuille de route pour une proposition de désignation éventuelle de la mer Méditerranée dans son ensemble en tant que zone de contrôle des émissions d'oxydes de soufre en vertu de l’Annexe VI de MARPOL, dans le cadre de la Convention de Barcelone, et la mettre en œuvre</t>
  </si>
  <si>
    <t>Feuille de route soumise</t>
  </si>
  <si>
    <t>À définir</t>
  </si>
  <si>
    <t>3.4.3 Inclure l'application de l'Annexe VI de MARPOL, dans le contexte de la mise en place des modalités de création et de fonctionnement possibles, y compris en termes de gouvernance et de financement d'un « Fonds bleu » régional</t>
  </si>
  <si>
    <t>Adopté</t>
  </si>
  <si>
    <t>% de PC ayant ratifié, transposé et fait appliquer l'Annexe VI de MARPOL</t>
  </si>
  <si>
    <t>3.6 Mise en œuvre</t>
  </si>
  <si>
    <t>Mettre en œuvre le Programme d'audit des États Membres de l'OMI (IMSAS), en utilisant le Code III comme norme d'audit et en suivant le Cadre et les Procédures du Programme d'audit des États Membres de l'OMI, et mettre en œuvre des mesures correctives pour combler les lacunes identifiées</t>
  </si>
  <si>
    <t>●  PC ayant mis en œuvre le IMSAS et mis en œuvre des mesures correctives pour combler les lacunes identifiées</t>
  </si>
  <si>
    <t xml:space="preserve">●navires conformes aux exigences de l'Annexe VI de MARPOL </t>
  </si>
  <si>
    <t>● administrations des PC étant efficaces dans l'exercice de toutes leurs responsabilités et obligations en vertu de l'Annexe VI de MARPOL</t>
  </si>
  <si>
    <t>% des administrations des PC étant efficaces dans l'exercice de toutes leurs responsabilités et obligations en vertu de l'Annexe VI de MARPOL</t>
  </si>
  <si>
    <t>3.7 Application</t>
  </si>
  <si>
    <t>Mettre en place un cadre juridique national (règlements) servant de base pour poursuivre les auteurs de déversements pour infraction à l'Annexe VI de MARPOL</t>
  </si>
  <si>
    <t xml:space="preserve">3.8 Installations de réception portuaire </t>
  </si>
  <si>
    <t>Fournir des installations de réception adéquates dans les ports méditerranéens permettant leur utilisation dès qu'elles sont disponibles, à un prix raisonnable et non dissuasif pour les navires les utilisant pour éliminer leurs résidus d’épuration</t>
  </si>
  <si>
    <t>% des principaux ports ayant l’installation de réception portuaire requise pour les déchets d’épuration</t>
  </si>
  <si>
    <t xml:space="preserve">3.9 Énergies alternatives / Nouvelles technologies </t>
  </si>
  <si>
    <t>Fournir des carburants à faible teneur en soufre pour le transport maritime international</t>
  </si>
  <si>
    <t>Nombre de ports fournissant des installations adéquates de soutage d'oxydes à faible teneur en soufre dans la région méditerranéenne</t>
  </si>
  <si>
    <t>Au moins un par pays</t>
  </si>
  <si>
    <t>Introduire des installations de soutage alternatives et utiliser du gaz naturel liquéfié comme carburant pour le transport maritime international</t>
  </si>
  <si>
    <t>Nombre de ports fournissant des installations adéquates de soutage de GNL dans la région méditerranéenne</t>
  </si>
  <si>
    <t xml:space="preserve">Au moins un par pays </t>
  </si>
  <si>
    <t>Nombre de ports disposant d'une alimentation électrique terrestre.</t>
  </si>
  <si>
    <t>3.11 Moyens de surveillance et de contrôle</t>
  </si>
  <si>
    <t>Posséder et maintenir des capacités de surveillance et de contrôle adéquates, y compris, si possible, l'accès aux services d'avions pilotés à distance</t>
  </si>
  <si>
    <t>% de PC ayant des capacités de surveillance et de contrôle en place</t>
  </si>
  <si>
    <t>Utiliser THETIS-MED, qui sert de plateforme pour enregistrer et échanger des informations sur les résultats des vérifications de conformité individuelles effectuées par les États membres, tel que prévu par la Directive (UE) 2016/802 relative à la réduction de la teneur en soufre des carburants marins.</t>
  </si>
  <si>
    <t>% de PC utilisant THETIS-MED pour ces analyses</t>
  </si>
  <si>
    <t>Dans le cadre des projets de coopération mis en œuvre par l'AESM, utiliser l'application maritime de l'AESM qui sert de plateforme pour l'échange d'informations AIS partagées par les Parties contractantes participantes au serveur régional AIS méditerranéen (MAREΣ).</t>
  </si>
  <si>
    <t>% de PC utilisant cette application</t>
  </si>
  <si>
    <t xml:space="preserve">3.12 Normes / Directives </t>
  </si>
  <si>
    <t>Promouvoir, diffuser et réviser les recommandations, principes et lignes directrices existants, afin d'en élaborer de nouveaux visant à faciliter la mise en œuvre de l'Annexe VI de MARPOL.</t>
  </si>
  <si>
    <t>●Volume n°1 du guide du GloMEEP sur les émissions portuaires : Évaluation des émissions portuaires</t>
  </si>
  <si>
    <t>● Directives de 2015 sur les systèmes de nettoyage des gaz d'échappement (MEPC.259(68) ;</t>
  </si>
  <si>
    <t>● Directives de 2019 pour le contrôle des navires par l'État du port en vertu de l'Annexe VI du MARPOL, chapitre 3 (MEPC.321(74) ;</t>
  </si>
  <si>
    <t>● Directives de 2019 pour l'application uniforme de la teneur limite en soufre de 0,5 % conformément à l'Annexe VI de MARPOL (MEPC.320(74))</t>
  </si>
  <si>
    <t xml:space="preserve">3.13 Outils d’aide à la prise de décision  </t>
  </si>
  <si>
    <t>Accroître la sensibilisation à tous les outils d'aide à la prise de décision disponibles pour les PC et l’industrie</t>
  </si>
  <si>
    <t>% de PC ayant accès à ces outils</t>
  </si>
  <si>
    <t>PARTAGE DE L'INFORMATION  ET DES CONNAISSANCES</t>
  </si>
  <si>
    <t>3.14 Obligations de surveillance et de déclaration</t>
  </si>
  <si>
    <t xml:space="preserve">Se conformer à toutes les obligations de déclaration en vertu des règles 11 et 18 de l'Annexe VI de MARPOL, d’après le contenu de MEPC.320(74), MEPC.1/Circ.880 </t>
  </si>
  <si>
    <t>% de PC à avoir respectéI l’obligation de déclaration</t>
  </si>
  <si>
    <t>Mettre en place des systèmes de surveillance dans leurs ports et dans la région côtière</t>
  </si>
  <si>
    <t>% de PC ayant des systèmes de surveillance en place dans les principaux ports de la Méditerranée</t>
  </si>
  <si>
    <t>Fournir des renseignements sur la surveillance, la déclaration et la vérification des émissions de SOx et de NOx</t>
  </si>
  <si>
    <t>% de PC ayant partagé des informations pertinentes</t>
  </si>
  <si>
    <t xml:space="preserve">3.15 Recherche et développement </t>
  </si>
  <si>
    <t xml:space="preserve">Encourager les PC à participer à la recherche et au développement ainsi qu’aux études menées au niveau régional, national et international (au sein de l'OMI) </t>
  </si>
  <si>
    <t>% de PC participant à des activités de recherche et de développement pertinentes</t>
  </si>
  <si>
    <t>OSC 4 - Prévenir et réduire l'entrée de déchets (notamment les déchets plastiques) dans le milieu marin par les navires, afin de limiter l'impact environnemental, sanitaire et socio-économique des déchets marins en Méditerranée</t>
  </si>
  <si>
    <t>OSC 4</t>
  </si>
  <si>
    <t>4.1 Réseaux</t>
  </si>
  <si>
    <t xml:space="preserve">Contribuer aux travaux des organismes et institutions des Nations Unies, ainsi que des instances internationales actives dans le domaine des déchets plastiques marins issus de la navigation, notamment le </t>
  </si>
  <si>
    <t>●Groupe de travail de l'OMI sur les déchets plastiques marins</t>
  </si>
  <si>
    <t>% de PC participant aux groupes de travail internationaux concernés</t>
  </si>
  <si>
    <t>●L’Organisation des Nations Unies pour l'alimentation et l'agriculture (FAO), par l'intermédiaire du Groupe de travail mixte ad hoc FAO/OMI sur la pêche illicite, non déclarée et non réglementée (INN) et les questions connexes (GTC) ; parties prenantes privées (paquebots de croisière, etc.)</t>
  </si>
  <si>
    <t>● Groupe mixte d'experts chargé d'étudier les aspects scientifiques de la protection de l'environnement marin (GESAMP) ;</t>
  </si>
  <si>
    <t>● Partenariat mondial sur les déchets marins (GPML) ;</t>
  </si>
  <si>
    <t xml:space="preserve">●Processus consultatif officieux ouvert à tous des Nations Unies sur les océans et le droit de la mer (ICP) ; et </t>
  </si>
  <si>
    <t xml:space="preserve">●Assemblée des Nations Unies pour l'environnement (ANUE) ; </t>
  </si>
  <si>
    <r>
      <rPr>
        <sz val="12"/>
        <color rgb="FF000000"/>
        <rFont val="Calibri Light"/>
        <family val="2"/>
        <charset val="1"/>
      </rPr>
      <t xml:space="preserve">● </t>
    </r>
    <r>
      <rPr>
        <sz val="12"/>
        <rFont val="Calibri Light"/>
        <family val="2"/>
        <charset val="1"/>
      </rPr>
      <t>Groupe d'experts du PNUE</t>
    </r>
  </si>
  <si>
    <t>● Groupe technique de lutte contre les déchets marins DCSMM</t>
  </si>
  <si>
    <t>Mettre des informations à la disposition de l'ANUE par l'intermédiaire de l'OMI ou du PNUE/PAM, le cas échéant</t>
  </si>
  <si>
    <t>Nombre de mises à jour fournies</t>
  </si>
  <si>
    <t>4.2 Renforcement des capacités / Coopération technique</t>
  </si>
  <si>
    <t>Mettre en œuvre des activités ciblées de coopération technique et de renforcement des capacités en Méditerranée afin de traiter les questions de mise en œuvre liées au Plan régional sur la gestion des déchets marins en Méditerranée, au Plan d'action de l'OMI pour traiter les déchets plastiques marins provenant de navires, en particulier dans le cadre du projet « Marine Litter-MED II » (par exemple, l'intensification et la mise en œuvre de projets pilotes de mesures connexes du Plan régional sur la gestion des déchets marins en Méditerranée) et au Programme intégré de coopération technique (PICT) de l'OMI, le cas échéant ;</t>
  </si>
  <si>
    <t>Nombre de membres du personnel formés</t>
  </si>
  <si>
    <t>Promouvoir la collaboration entre les opérateurs du secteur privé, en particulier les compagnies de croisières, pour lutter contre leur utilisation du plastique à usage unique (p. ex. dans leurs services d'hospitalité, leurs produits de toilette)</t>
  </si>
  <si>
    <t>Nombre de compagnies prenant des mesures pour lutter contre le plastique à usage unique</t>
  </si>
  <si>
    <t>Contribuer aux ajustements éventuels du cours type de l’OMI « Sensibilisation au milieu marin 1.38 » pour lutter spécifiquement contre les déchets plastiques marins et promouvoir son utilisation en Méditerranée.</t>
  </si>
  <si>
    <t>% de PC contribuantes</t>
  </si>
  <si>
    <t>Contribuer à la mise en place éventuelle de grands projets financés par des sources extérieures sous les auspices de l'OMI à l'appui du Plan d'action de l'OMI pour la lutte contre les déchets plastiques marins provenant des navires, tel que le projet de partenariat OMI-FAO-Norvège GloLitter et leur mise en œuvre ultérieure en Méditerranée, le cas échéant</t>
  </si>
  <si>
    <t>Nombre de CP contribuantes</t>
  </si>
  <si>
    <t>Au moins 3</t>
  </si>
  <si>
    <t>Accroître la sensibilisation et l'utilisation, si nécessaire, des services mis à disposition par l'AESM à l'appui de la transposition, de la mise en œuvre et de l'application après la ratification des Conventions internationales proposées dans le cadre du projet SAFEMED.</t>
  </si>
  <si>
    <t>% de PC au courant de ces services</t>
  </si>
  <si>
    <t>Accroître la sensibilisation et l'utilisation, si nécessaire, des services développés et mis à disposition par l'AESM dans le but d'étendre la coopération dans le domaine de la directive 2002/59/CE – VTMIS (telle que modifiée).</t>
  </si>
  <si>
    <t xml:space="preserve">4.4 Gouvernance  </t>
  </si>
  <si>
    <t>Renforcer la capacité des différents États côtiers à lutter efficacement contre la pollution par les déchets plastiques marins.</t>
  </si>
  <si>
    <t>% de PC ayant la capacité de lutter efficacement contre la pollution par les déchets plastiques marins</t>
  </si>
  <si>
    <t>Mettre en œuvre des actions spécifiques pour lutter contre les déchets plastiques marins provenant des navires en Méditerranée, découlant du Plan régional sur la gestion des déchets marins en Méditerranée, du Plan d'action de l'OMI sur la gestion des déchets plastiques marins provenant des navires, ainsi que d'autres plans ou initiatives pertinents, y compris, le cas échéant, la prochaine Stratégie de l'OMI sur les déchets plastiques marins provenant des navires ;</t>
  </si>
  <si>
    <t xml:space="preserve">● Plan régional sur la gestion des déchets marins en Méditerranée, </t>
  </si>
  <si>
    <t xml:space="preserve">Plan régional sur la gestion des déchets marins en Méditerranée, </t>
  </si>
  <si>
    <t>●Plan d'action de l'OMI visant à traiter les déchets plastiques marins provenant des navires</t>
  </si>
  <si>
    <t>Plan d'action de l'OMI visant à traiter les déchets plastiques marins provenant des navires</t>
  </si>
  <si>
    <t>Explorer avec l'OMI et le PNUE/PAM les mesures qui pourraient être prises dans le cadre de leurs mandats respectifs pour établir des synergies en vue de renforcer la coopération et la coordination dans la mise en œuvre de leurs plans ou stratégies respectifs sur les déchets plastiques marins provenant des navires ainsi que d'autres plans ou initiatives pertinents.</t>
  </si>
  <si>
    <t>Nombre de réunions tenues</t>
  </si>
  <si>
    <t>Ratifier et mettre en œuvre l'Annexe V de MARPOL, assurer sa transposition dans le droit national et coopérer pour assurer le plein respect de ses dispositions et, le cas échéant, des mesures du Plan d'action de l'OMI sur les déchets plastiques et les microplastiques
Transposition et mise en oeuvre des résolutions/dispositions de l'ANUE qui y sont liées</t>
  </si>
  <si>
    <t>% de PC ayant ratifié, transposé et fait appliquer l'Annexe V de MARPOL</t>
  </si>
  <si>
    <t>Mettre en œuvre des réglementations nationales habilitant les autorités maritimes à exiger, si elles le jugent nécessaire, que les capitaines de navires déchargent les déchets dans les installations de réception portuaires désignées avant la navigation</t>
  </si>
  <si>
    <t>% de PC ayant mis en œuvre les réglementations nationales</t>
  </si>
  <si>
    <t>4.6 Mise en œuvre</t>
  </si>
  <si>
    <t>Mettre en œuvre le Programme d'audit des États Membres de l'OMI (IMSAS), en utilisant le Code III comme norme d'audit et en suivant le Cadre et les Procédures du Programme d'audit des États Membres de l'OMI et mettre en oeuvre des mesures correctives pour combler les lacunes identifiées</t>
  </si>
  <si>
    <t>% de PC ayant mis en œuvre le IMSAS et mis en oeuvre des mesures correctives pour combler les lacunes identifiées</t>
  </si>
  <si>
    <t>Encourager les Parties contractantes à mettre en œuvre les mesures pertinentes prévues dans le Plan régional sur la gestion des déchets marins en Méditerranée, conformément aux calendriers, en utilisant les directives opérationnelles sur la mise à disposition d’installations de réception portuaires et dépôt des déchets générés par les navires en Méditerranée (Décision IG.24/11, Annexe III), ainsi que le document d'orientation pour déterminer l’application de droits d’un montant raisonnable pour l’utilisation des installations de réception portuaires ou, le cas échéant, l'application d'un régime sans redevance spéciale en Méditerranée (Décision IG.24/11, Annexe IV), et le partage des meilleures pratiques et des enseignements tirés de ce processus en Méditerranée</t>
  </si>
  <si>
    <t>● navires conformes aux exigences de l'Annexe V de MARPOL</t>
  </si>
  <si>
    <t>% de navires conformes aux exigences de l'Annexe V de MARPOL</t>
  </si>
  <si>
    <t>● PC mettant en œuvre des obligations pertinentes au titre du Plan régional sur la gestion des déchets marins en Méditerranée</t>
  </si>
  <si>
    <t>% de PC mettant en œuvre des obligations pertinentes au titre du Plan régional sur la gestion des déchets marins en Méditerranée</t>
  </si>
  <si>
    <t xml:space="preserve"> Aider les Parties contractantes à mettre en œuvre efficacement leur obligation de fournir des installations adéquates aux ports et aux terminaux pour la réception des ordures, comme l'exige la règle 8 de l'Annexe V de MARPOL</t>
  </si>
  <si>
    <t>% des administrations des PC étant efficaces dans l'exercice de toutes leurs responsabilités et obligations en vertu de l'Annexe V de MARPOL</t>
  </si>
  <si>
    <t>Explorer et mettre en oeuvre (dans la mesure du possible) des moyens de faire payer à un coût raisonnable l'utilisation des installations de réception portuaires, ou, si possible, appliquer un régime sans redevance spéciale (y compris les dispositions concernant les déchets péchés passivement et le droit de livraison).</t>
  </si>
  <si>
    <t>Nombre de ports ayant un régime sans redevance spéciale en place</t>
  </si>
  <si>
    <t>1 par pays</t>
  </si>
  <si>
    <t>Encourager les Parties contractantes à devenir membres de la GGGI et à promouvoir des actions nationales contre les engins de pêche fantômes, notamment en améliorant les régimes de responsabilité des producteurs.</t>
  </si>
  <si>
    <t>% de PC faisant partie de la GGGI</t>
  </si>
  <si>
    <t>4.7 Application</t>
  </si>
  <si>
    <t>Contribuer à l'élaboration de possibles mécanismes de l'OMI pour renforcer l'application des exigences de l'Annexe V de MARPOL en matière de livraison des ordures aux installations de réception, ainsi que leur mise en œuvre en Méditerranée ;</t>
  </si>
  <si>
    <t xml:space="preserve">Mettre en place un cadre juridique national (règlements) servant de base pour poursuivre les auteurs de déversements pour infraction à l'Annexe V de MARPOL </t>
  </si>
  <si>
    <t>Appliquer des critères pour un niveau minimal commun d'amendes pour chaque infraction prévue à l'Annexe V de MARPOL</t>
  </si>
  <si>
    <t xml:space="preserve">% de PC appliquant un niveau minimal commun d'amendes </t>
  </si>
  <si>
    <t>Effectuer des inspections FSI pour s'assurer que les navires immatriculés, y compris les bateaux de plaisance et de pêche, sont conformes aux exigences de l'Annexe V de MARPOL et à toute autre réglementation nationale ;</t>
  </si>
  <si>
    <t>Nombre d'inspections, de déficiences constatées et de navires détenus</t>
  </si>
  <si>
    <t xml:space="preserve">100 % de conformité </t>
  </si>
  <si>
    <t xml:space="preserve">Améliorer l'efficacité du protocole d'entente (MoU) sur le Contrôle par l’État du port (PSC) dans la région méditerranéenne (MoU méditerranéen) et faciliter la coopération entre le MoU de Paris et le MoU méditerranéen </t>
  </si>
  <si>
    <t xml:space="preserve">Nombre d'inspections conjointes concentrées </t>
  </si>
  <si>
    <t xml:space="preserve">4.8 Installations de réception portuaire </t>
  </si>
  <si>
    <t>Contribuer au développement d’outils de l'OMI pour soutenir la mise en œuvre des dépenses associées aux installations de réception portuaire, en tenant compte de la nécessité de ne pas dissuader leur utilisation, des avantages potentiels des incitations financières ne prévoyant pas de frais supplémentaires en fonction du volume et de l'identification des types de déchets pouvant être réduits, réutilisés ou recyclés grâce à des programmes d'identification des revenus liés aux déchets ;</t>
  </si>
  <si>
    <t>Nombre de ports ayant mis en place des installations pour la collecte des ordures ainsi que des procédures d'élimination ;</t>
  </si>
  <si>
    <t>Fournir des installations de réception adéquates dans les ports méditerranéens, permettant leur utilisation dès qu'elles sont disponibles à un prix devant être raisonnable et sans effet dissuasif pour les navires qui les utilisent pour l'élimination de déchets</t>
  </si>
  <si>
    <t>Nombre de ports ayant mis en place des procédures de collecte et d'élimination des déchets</t>
  </si>
  <si>
    <t>Contribuer à l'établissement d'une éventuelle exigence de l'OMI concernant les installations de réception portuaire</t>
  </si>
  <si>
    <t xml:space="preserve"> Prévoir une collecte séparée des déchets plastiques provenant des navires, y compris les engins de pêche</t>
  </si>
  <si>
    <t>% de PC ayant prévu une collecte séparée</t>
  </si>
  <si>
    <t>Fournir une assistance aux Parties contractantes pour gérer efficacement les déchets marins accidentellement recueillis lors d'activités de pêche (appelée « Fishing for Litter », la « pêche aux déchets marins ») ainsi que dans la gestion des engins de pêche endommagés, en fournissant une assistance pour la réaliser des installations de réception portuaire adéquates et une coopération entre les parties prenantes</t>
  </si>
  <si>
    <t>% de PC ayant sollicité l'assistance</t>
  </si>
  <si>
    <t>4.9 Énergies alternatives / Nouvelles technologies</t>
  </si>
  <si>
    <t>4.10 Moyens de lutte</t>
  </si>
  <si>
    <t xml:space="preserve">4.11 Moyens de surveillance et de contrôle </t>
  </si>
  <si>
    <t>Aider les PC à mettre en place des systèmes de surveillance et de contrôle, y compris des procédures et des systèmes dans le port et sur la côte (surveillance aérienne par RPA)</t>
  </si>
  <si>
    <t>% de PC ayant un système de surveillance et de contrôle en place</t>
  </si>
  <si>
    <t>Effectuer des inspections via les FSI et PSC pour s'assurer que les navires et embarcations sont conformes à l'Annexe V de MARPOL</t>
  </si>
  <si>
    <t>Nombre d'inspections / détentions</t>
  </si>
  <si>
    <t>Pas de détentions</t>
  </si>
  <si>
    <t>Promouvoir, diffuser et réviser les recommandations, principes et lignes directrices existants afin d'en élaborer de nouveaux visant à faciliter la mise en œuvre de l'Annexe V de MARPOL :</t>
  </si>
  <si>
    <t>●Plan d'action de l'OMI visant à traiter les déchets de plastique marin provenant des navires (Rés. MEPC.310(73)) ;</t>
  </si>
  <si>
    <t>● Directives de 2017 pour la mise en œuvre de l’Annexe V de MARPOL (Rés.MEPC.295(71))</t>
  </si>
  <si>
    <t>● Lignes directrices concernant les activités de plaisance et la protection de l’environnement marin en Méditerranée (Décision IG 17/9) ;</t>
  </si>
  <si>
    <t>●Lignes directrices opérationnelles sur les dispositions relatives à la mise à disposition d’installations de réception portuaires et au dépôt des déchets générés par les navires en Méditerranée (Décision IG.24/11, Annexe III) ; et</t>
  </si>
  <si>
    <t>● Document d'orientation permettant de déterminer l'application de redevances d’un montant raisonnable pour l’utilisation des installations de réception portuaires ou, le cas échéant, l'application du « régime sans redevance spéciale » en Méditerranée (Décision IG.24/11, Annexe IV).</t>
  </si>
  <si>
    <t>Contribuer à l'examen par l'OMI de l'application des affiches, des plans de gestion des ordures et de la tenue des registres des ordures dans l'Annexe V de MARPOL en Méditerranée.</t>
  </si>
  <si>
    <t>Soutenir et promouvoir le recours aux Directives volontaires sur le marquage des engins de pêche de la FAO</t>
  </si>
  <si>
    <t>% de PC utilisant ces directives</t>
  </si>
  <si>
    <t>4.12.4 Promouvoir l'utilisation, par les autorités portuaires et les opérateurs du secteur privé, des lignes directrices de politique nationale pour lutter contre l'utilisation du plastique à usage unique développées dans le cadre de la Convention de Barcelone.</t>
  </si>
  <si>
    <t>% de PC utilisant ces lignes directrices</t>
  </si>
  <si>
    <t xml:space="preserve">4.13 Outils d’aide à la prise de décision </t>
  </si>
  <si>
    <t>Accroître la sensibilisation à tous les outils d'aide à la décision mis à la disposition des PC et de l’industrie</t>
  </si>
  <si>
    <t>4.14 Obligations de surveillance et de déclaration</t>
  </si>
  <si>
    <t>Se conformer aux obligations de déclaration en vertu de la Convention de Londres, du Protocole de Londres, de l’Annexe V de MARPOL et, sur une base régionale, du Protocole « immersions », tout en appliquant le contenu de MEPC.1/Circ834/Rev1 ; MEPC.295(71), MEPC.310(73)</t>
  </si>
  <si>
    <t>% of PCs to have complied with the mandatory reporting obligations</t>
  </si>
  <si>
    <t>Établir un système de surveillance unique et uniforme dans les ports et la région côtière, en liaison avec le PNUE/PAM du Programme intégré de surveillance et d'évaluation (IMAP)</t>
  </si>
  <si>
    <t>Fournir des informations sur la surveillance, la déclaration et la vérification du niveau de déchets plastiques marins dans les ports ainsi que dans les eaux côtières et partager leurs expériences ainsi que leurs meilleures pratiques ;</t>
  </si>
  <si>
    <t xml:space="preserve">4.15 Recherche et développement </t>
  </si>
  <si>
    <t>Encourager les PC et les organisations internationales ou régionales compétentes ayant mené des recherches scientifiques sur les déchets marins en Méditerranée à partager les résultats de ces recherches, y compris toute information sur les zones contaminées par les déchets plastiques marins provenant de navires en Méditerranée</t>
  </si>
  <si>
    <t xml:space="preserve">% de PC participant à ces études </t>
  </si>
  <si>
    <t>Encourager les PC à contribuer, en entreprenant des études au niveau national, à l'étude de l'OMI sur les déchets plastiques marins ainsi qu’à d'autres études et projets à portée régionale ou sous-régionale, tels que ceux financés par l'UE, y compris les macro et microplastiques, à partir de tous les navires, bateaux de plaisance et bateaux de pêche</t>
  </si>
  <si>
    <t>Inviter les PC et les organisations régionales ou internationales compétentes à entreprendre des études pour mieux comprendre les microplastiques des navires en Méditerranée.</t>
  </si>
  <si>
    <t>% de PC / d'organisations internationales contribuantes</t>
  </si>
  <si>
    <t>OSC 5 - Éliminer l'introduction d'espèces non indigènes introduites par les activités de navigation</t>
  </si>
  <si>
    <t>OSC 5</t>
  </si>
  <si>
    <t>5.1 Réseaux</t>
  </si>
  <si>
    <t>Contribuer aux travaux des organes et institutions des Nations Unies, ainsi que des forums internationaux, qui sont actifs dans le domaine de la prévention des risques biotechnologiques, notamment :</t>
  </si>
  <si>
    <t>● l'OMI (Comité de protection du milieu marin ; Groupes de travail du Sous-comité de la prévention de la pollution et de l'intervention (PPR-WGs) ; Groupe consultatif relatif aux eaux de ballast et à l'encrassement biologique)</t>
  </si>
  <si>
    <t>● le Centre d'activités régional pour les aires spécialement protégées (SPA/RAC) ; et</t>
  </si>
  <si>
    <t>Agence de Protection et d’Aménagement du Littoral (APAL)</t>
  </si>
  <si>
    <t>●l'AESM</t>
  </si>
  <si>
    <t>5.2 Renforcement des capacités / Coopération technique</t>
  </si>
  <si>
    <t>Mettre en œuvre des activités ciblées de coopération technique et de renforcement des capacités en Méditerranée, pour aborder les questions de mise en œuvre liées à la biosécurité, à savoir la mise en œuvre effective de :</t>
  </si>
  <si>
    <t>●La Stratégie méditerranéenne pour la gestion des eaux de ballast des navires, y compris son Plan d’action et son Calendrier (la « Stratégie méditerranéenne BWM »)</t>
  </si>
  <si>
    <t>1 personne nouvellement formée par pays et par discipline</t>
  </si>
  <si>
    <t>● La Convention internationale de 2004 pour le contrôle et la gestion des eaux de ballast et sédiments des navires (Convention BWM) ;</t>
  </si>
  <si>
    <t>● La Convention internationale de 2001 sur le contrôle des systèmes antisalissure nuisibles sur les navires (Convention AFS) ; et</t>
  </si>
  <si>
    <t>● Les Directives de 2011 pour le contrôle et la gestion de l'encrassement biologique des navires en vue de réduire au minimum le transfert d'espèces aquatiques envahissantes (lignes directrices sur l’encrassement biologique) et les pratiques exemplaires connexes</t>
  </si>
  <si>
    <t>Contribuer à l'établissement éventuel de grands projets financés par des sources extérieures sous les auspices de l'OMI à l'appui de la Convention BWM, de la Convention AFS ou des directives sur l’encrassement biologique, tels que les partenariats GloFouling en cours entre le Fonds pour l'environnement mondial (FEM), le Programme des Nations Unies pour le développement (PNUD) et l'OMI, ainsi que leur mise en œuvre ultérieure en Méditerranée, le cas échéant</t>
  </si>
  <si>
    <t xml:space="preserve"> Accroître la sensibilisation et l'utilisation, si nécessaire, des services mis à disposition par l'AESM à l'appui de la transposition, de la mise en œuvre et de l'application suite à la ratification des Conventions internationales proposées dans le cadre du projet SAFEMED.</t>
  </si>
  <si>
    <t>Accroître la sensibilisation et l'utilisation, si nécessaire, des services mis à disposition par l'AESM en vue d'étendre la coopération en lien avec la Directive 2002/59/CE – VTMIS (version modifiée).</t>
  </si>
  <si>
    <t xml:space="preserve">5.4 Gouvernance  </t>
  </si>
  <si>
    <t xml:space="preserve">5.4.1 Mettre en œuvre la Stratégie méditerranéenne BWM </t>
  </si>
  <si>
    <t>% de PC ayant mis en œuvre la Stratégie méditerranéenne</t>
  </si>
  <si>
    <t>5.5.1 Ratifier et transposer la Convention BWM ainsi que la Convention AFS</t>
  </si>
  <si>
    <t>% des PC ayant ratifié, transposé et fait appliquer la Convention BWM et la Convention AFS</t>
  </si>
  <si>
    <t>5.7 Application</t>
  </si>
  <si>
    <t>Mettre en place un système solide de conformité, de surveillance et d'application de la loi (CME) dans la région méditerranéenne ;</t>
  </si>
  <si>
    <t>Date d'établissement du CME</t>
  </si>
  <si>
    <t xml:space="preserve">Mettre en place un cadre juridique national (règlements) servant de base pour la poursuite des auteurs de déversements pour infraction à la Convention BWM et de la Convention AFS </t>
  </si>
  <si>
    <t>Appliquer des critères pour un niveau minimal commun d'amendes pour chaque infraction prévue par la Convention BWM et par la Convention AFS</t>
  </si>
  <si>
    <t>Le FSI doit s'assurer que les navires immatriculés, y compris les bateaux de plaisance et de pêche, respectent les exigences de la Convention BWM et de la Convention AFS ainsi que toutes les autres règles et réglementations nationales ;</t>
  </si>
  <si>
    <t xml:space="preserve">5.7.5 Améliorer l'efficacité du MoU méditerranéen et faciliter la coopération entre le MoU de Paris et le MoU méditerranéen </t>
  </si>
  <si>
    <t xml:space="preserve">5.8 Installations de réception portuaire </t>
  </si>
  <si>
    <t xml:space="preserve">Fournir des installations de réception adéquates dans les ports méditerranéens, permettant leur utilisation dès qu'elles sont disponibles à un prix devant être raisonnable et non dissuasif pour leur utilisation en vue de l'élimination des eaux de ballast et des sédiments. </t>
  </si>
  <si>
    <t xml:space="preserve">% des principaux ports et terminaux où le nettoyage ou la réparation des citernes de ballast sont conformes aux dispositions de la Convention BWM </t>
  </si>
  <si>
    <t>5.9 Énergies alternatives / Nouvelles technologies</t>
  </si>
  <si>
    <t>5.10 Moyens de lutte</t>
  </si>
  <si>
    <t>5.11 Moyens de surveillance et de contrôle</t>
  </si>
  <si>
    <t xml:space="preserve"> Essais opérationnels et accessibles sur l'eau de ballast dans les laboratoires nationaux </t>
  </si>
  <si>
    <t>% de PC disposant d’équipements de test</t>
  </si>
  <si>
    <t>80 %</t>
  </si>
  <si>
    <t>Développer une base de données regroupant les nouvelles introductions d'espèces non indigènes enregistrées dans la Méditerranée via les eaux de ballast</t>
  </si>
  <si>
    <t>Base de données établie</t>
  </si>
  <si>
    <t xml:space="preserve">5.12 Normes / Directives  </t>
  </si>
  <si>
    <t>Promouvoir, diffuser et réviser les recommandations, principes et lignes directrices existants, afin d'en élaborer de nouvelles visant à faciliter la mise en œuvre de la Convention BWM et de la Convention AFS, notamment :</t>
  </si>
  <si>
    <t>● Directives en vue de réduire au minimum le transfert d'espèces aquatiques envahissantes en tant qu'encrassement biologique (encrassement de la coque) pour les embarcations de plaisance (MEPC.1/Circ.792) ;</t>
  </si>
  <si>
    <t>● Lignes directrices pour l’évaluation des directives de 2011 pour le contrôle et la gestion de l’encrassement biologique des navires en vue de réduire au minimum le transfert d’espèces aquatiques envahissantes (MEPC.1/Circ.811) ;</t>
  </si>
  <si>
    <t>● Gestion des eaux de ballast - Guide pour les meilleures pratiques d'échantillonnage (AESM, 2019) ;</t>
  </si>
  <si>
    <t>● Lignes directrices pour les installations de réception des sédiments (G1) (MEPC.152(55)) ;</t>
  </si>
  <si>
    <t xml:space="preserve"> ●Lignes directrices pour l'échantillonnage des eaux de ballast (G2) (MEPC.173(58)) ;</t>
  </si>
  <si>
    <t>● Lignes directrices pour la conformité équivalente de la gestion des eaux de ballast (G3) (MEPC.123(53)) ;</t>
  </si>
  <si>
    <t>● Lignes directrices pour la gestion des eaux de ballast et le développement de plans de gestion des eaux de ballast (G4) (MEPC.127(53)) ;</t>
  </si>
  <si>
    <t xml:space="preserve">% of PCs having downloaded/been provided with such guidelines </t>
  </si>
  <si>
    <t>● Lignes directrices pour les installations de réception des eaux de ballast (G5) (MEPC.153(55)) ;</t>
  </si>
  <si>
    <t>● Lignes directrices de 2017 sur l'échange des eaux de ballast (G6) (MEPC.288(71)) ;</t>
  </si>
  <si>
    <t>●Lignes directrices de 2017 sur l'évaluation des risques dans le cadre de la règle A-4 de la Convention BWM (G7) (MEPC.289(71)) ;</t>
  </si>
  <si>
    <t>● Lignes directrices pour l'approbation des systèmes de gestion des eaux de ballast (G8) (MEPC.279(70)) ;</t>
  </si>
  <si>
    <t>● Procédures pour l'approbation des systèmes de gestion des eaux de ballast faisant usage de substances actives (G9) (MEPC.169(57)) ;</t>
  </si>
  <si>
    <t>● Lignes directrices pour l'approbation et la supervision des prototypes de programmes technologiques de traitement des eaux de ballast (G10) (MEPC.140(54)) ;</t>
  </si>
  <si>
    <t>●Lignes directrices sur les normes de conception et de construction de l'échange des eaux de ballast (G11) (MEPC.149(55)) ;</t>
  </si>
  <si>
    <t>● Lignes directrices de 2012 sur la conception et la construction destinées à faciliter le contrôle des sédiments à bord des navires (G12) (MEPC.209.63)) ;</t>
  </si>
  <si>
    <t>● Lignes directrices sur les mesures additionnelles concernant la conception et la construction visant à faciliter la gestion des eaux de ballast, y compris dans les situations d'urgence (G13) (MEPC.161(56)) ;</t>
  </si>
  <si>
    <t>●Lignes directrices sur la désignation de zones dédiées à l'échange des eaux de ballast (G14) (MEPC.151(55)) ;</t>
  </si>
  <si>
    <t>● La phase d'acquisition de l'expérience associée à la Convention BWM (MEPC.290(71)) ;</t>
  </si>
  <si>
    <t>● Mise en œuvre de la Convention BWM (MEPC.287(71)) ;</t>
  </si>
  <si>
    <t>●Lignes directrices pour le Contrôle par l'État du port dans le cadre de la Convention BWM (MEPC.252(67)) ;</t>
  </si>
  <si>
    <t>●Signalement des informations sur les systèmes de management des eaux de ballast approuvés par type (MEPC.228(65)) ;</t>
  </si>
  <si>
    <t>● Procédures pour l'approbation d'autres méthodes de gestion des eaux de ballast, dans le cadre de la règle B-37 de la Convention BWM (MEPC.206(62)) ;</t>
  </si>
  <si>
    <t>● Installation des systèmes de gestion des eaux de ballast sur les nouveaux navires, en accord avec les dates d'application présentent dans le Convention BWM (MEPC.188(60)) ;</t>
  </si>
  <si>
    <t>● Application de la Convention BWM aux navires opérant dans des zones marines où l'échange des eaux de ballast n'est pas possible d'après les provisions B-4.1 et D-1 (BWM.2/Circ.63) ;</t>
  </si>
  <si>
    <t>● Directive sur les mesures de contingences dans le cadre de la Convention BWM (BWM.2/Circ.62) ;</t>
  </si>
  <si>
    <t>● aa)	Directives sur les méthodologies pouvant être utilisées pour l'énumération des organismes viables pour les systèmes de gestion des eaux de ballast approuvés par type (BWM.2/Circ.61) ;</t>
  </si>
  <si>
    <t>● Directives pour de meilleures pratiques de gestion en matière de retrait du revêtement anti-salissant des navires, y compris les peintures de coques à base de tributylétain (AFS.3/Circ.3) ;</t>
  </si>
  <si>
    <t>●Lignes directrices de 2010 pour l'Enquête et la certification des systèmes anti-salissures des navires (MEPC.195(61)).</t>
  </si>
  <si>
    <t xml:space="preserve">5.13 Outils d’aide à la prise de décision </t>
  </si>
  <si>
    <t>Étudier les possibilités d'interaction et de capitalisation des outils d'aide à la décision disponibles aux niveaux méditerranéen et européen, notamment :</t>
  </si>
  <si>
    <t>● Mettre en place un mécanisme méditerranéen en ligne pour l'échange d'informations sur les outils existants, y compris les espèces exotiques envahissantes marines méditerranéennes (MAMIAS)</t>
  </si>
  <si>
    <t>●Utiliser l'évaluation des risques comme outil fiable pour faciliter la prise de décisions en matière de gestion des eaux de ballast et de procédures de conformité, de surveillance et d'application de la loi</t>
  </si>
  <si>
    <t>5.14 Obligations de surveillance et de déclaration</t>
  </si>
  <si>
    <t xml:space="preserve">Respecter les obligations de déclaration en vertu de la Convention BWM et, sur une base régionale, en vertu de la Stratégie régionale concernant la gestion des eaux de ballast des navires et les espèces envahissantes (Décision IG20/11), tout en respectant le contenu des documents MEPC.289(71), MEPC.151(55), MEPC.152(55), MEPC.161(56), MEPC.228(65) </t>
  </si>
  <si>
    <t>50 %</t>
  </si>
  <si>
    <t>Mettre en place un système d'enquête, de surveillance biologique et d'évaluation des risques pour les ports méditerranéens.</t>
  </si>
  <si>
    <t>Système établi</t>
  </si>
  <si>
    <t xml:space="preserve">5.15 Recherche et développement </t>
  </si>
  <si>
    <t>Participer aux initiatives de l'OMI et de l'industrie sur les nouvelles technologies et les études au niveau régional et national</t>
  </si>
  <si>
    <t>% de PC participant à des études et initiatives connexes</t>
  </si>
  <si>
    <t>OSC 6 - Parvenir à une bonne gérance de la Méditerranée afin de la rendre sûre et exempte de pollution, avec une planification intégrée de l’espace marin et la désignation de zones spéciales, où l'activité maritime a un impact limité sur l'environnement marin</t>
  </si>
  <si>
    <t>OSC 6</t>
  </si>
  <si>
    <t>6.1 Réseaux</t>
  </si>
  <si>
    <t>Participer activement aux réseaux et aux groupes, renforcer les synergies entre les réseaux concernés liés à l'aménagement du territoire marin et à la désignation de zones spéciales en Méditerranée, notamment par :
a)	Le Programme d'actions prioritaires / Centre d'activités régionales (PAP/CAR) pour d'autres mesures liées à la Planification spatiale maritime (MSP), 
b)	Le Centre d'activités régionales pour les aires spécialement protégées (SPA/RAC) pour d'autres mesures liées aux aires marines protégées (AMP), aux aires spécialement protégées d'importance méditerranéenne (ASPIM), aux aires marines d'importance écologique ou biologique (AMIEB)
c)	REMPEC, pour d'autres mesures relatives aux aires spéciales relevant de MARPOL et des aires marines particulièrement sensibles (PSSA)</t>
  </si>
  <si>
    <t xml:space="preserve">Nombre d'activités conjointes organisées </t>
  </si>
  <si>
    <t>Au moins 2 activités conjointes organisées</t>
  </si>
  <si>
    <t>6.2 Renforcement des capacités / Coopération technique</t>
  </si>
  <si>
    <t>Mettre en œuvre des activités ciblées de coopération technique et de renforcement des capacités en Méditerranée, afin de traiter des questions de mise en œuvre liées à la désignation d’aires spéciales, à savoir :
a)	Les zones spéciales sous MARPOL
b)	Les PSSA
c)	Les Dispositifs de séparation du trafic (DST) et autres systèmes de routage des navires</t>
  </si>
  <si>
    <t xml:space="preserve">Nombre d'ateliers / séminaires organisés au niveau régional ou national </t>
  </si>
  <si>
    <t xml:space="preserve">2 ou 3 </t>
  </si>
  <si>
    <t>Accroître la sensibilisation et l'utilisation, si nécessaire, de cartes sur la densité du trafic développées et mises à disposition par l'AESM et visant à faciliter la planification spatiale marine et la désignation d’aires spéciales où l'activité maritime a ou n'a pas d'impact sur le milieu marin</t>
  </si>
  <si>
    <t xml:space="preserve">6.4 Gouvernance </t>
  </si>
  <si>
    <t>Assurer la coordination avec les autorités compétentes nationales et en coopération et d'autres États côtiers méditerranéens, afin de parvenir à une Méditerranée sûre et exempte de pollution, avec planification spatiale marine intégrée et désignation d’aires spéciales où l'activité maritime a un impact limité sur l'environnement marin</t>
  </si>
  <si>
    <t>● PC agissant en coordination avec les autorités compétentes nationales</t>
  </si>
  <si>
    <t>% de PC agissant en coordination avec les autorités compétentes nationales</t>
  </si>
  <si>
    <t>● PC concernées consultées</t>
  </si>
  <si>
    <t>% de PC concernées consultées</t>
  </si>
  <si>
    <t>Dans la mesure du possible, et sans préjudice du droit souverain des États, en étroite collaboration avec les autorités nationales compétentes et en coopération avec d'autres États côtiers méditerranéens :</t>
  </si>
  <si>
    <t>● Évaluer la faisabilité de la désignation de la région méditerranéenne en tant que zone spéciale au titre de l'Annexe IV de MARPOL Prévention de la pollution par les eaux usées des navires, et, le cas échéant, soumettre la proposition correspondante à l'OMI, ainsi qu'une évaluation de l'inclusion de l'eau noire et de l'eau grise ;</t>
  </si>
  <si>
    <t>État de l'évaluation</t>
  </si>
  <si>
    <t>Terminée</t>
  </si>
  <si>
    <t>● Continuer à évaluer la faisabilité de la désignation de certaines zones de la Méditerranée en tant que PSSA, et soumettre les propositions correspondantes à l'OMI, le cas échéant ;</t>
  </si>
  <si>
    <t>●Proposer à l'OMI, le cas échéant, des systèmes de routage appropriés supplémentaires en Méditerranée pour adoption éventuelle conformément au droit international ;</t>
  </si>
  <si>
    <t xml:space="preserve">Nombre de propositions </t>
  </si>
  <si>
    <t>À définir -</t>
  </si>
  <si>
    <t>● Élaborer des plans pour gérer les navires en détresse, y compris les équipements et moyens appropriés, selon les besoins, et définir les modalités de réaction en fonction de leur nature et du risque encouru.</t>
  </si>
  <si>
    <t>% de PC ayant élaboré des plans pour gérer les navires en détresse</t>
  </si>
  <si>
    <t>Prendre en compte les recommandations en termes de gestion de la préservation de l'environnement telles que décrites dans la Résolution 7.12 de l'ACCOBAMS</t>
  </si>
  <si>
    <t>% de PC ayant mis en place ces recommandations</t>
  </si>
  <si>
    <t>Assurer, par le biais de lois et de règlements nationaux appropriés et d'arrangements institutionnels, la bonne application, le contrôle de la conformité et l'application de la législation nationale des mesures de l'OMI relatives aux PSSA, aux systèmes de routage et aux zones spéciales en vertu de MARPOL</t>
  </si>
  <si>
    <t>% de PC disposant de lois et de règlements nationaux et institutionnels</t>
  </si>
  <si>
    <t>6.6 Mise en œuvre</t>
  </si>
  <si>
    <t>Élaborer un plan de travail national pour l'élaboration et la mise en œuvre des PSSA, des systèmes de routage et des zones spéciales en vertu de MARPOL</t>
  </si>
  <si>
    <t xml:space="preserve">% de PC disposant d’un plan de travail national </t>
  </si>
  <si>
    <t>6.7 Application</t>
  </si>
  <si>
    <t xml:space="preserve">Mettre en place un cadre juridique national (règlements) servant de base pour poursuivre les contrevenants en cas d'infractions aux exigences des mesures de routage, des PSSA et des zones spéciales en vertu de MARPOL </t>
  </si>
  <si>
    <t>% de PC ayant un cadre juridique national en place</t>
  </si>
  <si>
    <t>Mettre en place un programme de conformité efficace intégrant tous les éléments suivants :
a)	La surveillance de la conformité au moyen d'inspections, d'enquêtes et/ou d'examens de routine ;
b)	Des « patrouilles » de détection et de maintien de l’ordre ;
c)	Les procédures de déclaration et les mesures incitatives, y compris les mesures incitatives pour l'auto-déclaration ;
d)	Des enquêtes adéquates sur les violations signalées ou détectées autrement ;
e)	Un système de sanctions adéquates en cas de violations ;
f)	Des programmes d'éducation et de sensibilisation du public ; et
g)	La coopération et coordination avec les autres États.</t>
  </si>
  <si>
    <t>La date du programme de conformité est fixée.</t>
  </si>
  <si>
    <t xml:space="preserve">6.9 Énergies alternatives / Nouvelles technologies </t>
  </si>
  <si>
    <t>6.10 Moyens de lutte</t>
  </si>
  <si>
    <t>6.11 Moyens de surveillance et de contrôle</t>
  </si>
  <si>
    <t>Mettre en place un système de surveillance et de contrôle robuste, comprenant l'installation de services de trafic maritime (VTS)</t>
  </si>
  <si>
    <t>% de PC ayant établi un système de surveillance</t>
  </si>
  <si>
    <t>Renforcer la sûreté maritime, la sécurité maritime et la prévention/lutte contre la pollution marine en renforçant la coopération en matière d'AIS et en participant à des projets sur le partage approfondi des informations AIS à travers le MAREΣ.</t>
  </si>
  <si>
    <t xml:space="preserve">6.12 Normes / Directives </t>
  </si>
  <si>
    <t>Promouvoir, diffuser et réviser les recommandations, principes et lignes directrices existants, afin d'en élaborer de nouveaux visant à faciliter l'établissement et la gestion de zones spéciales et de systèmes de routage, y compris :</t>
  </si>
  <si>
    <t>● Le Document d'orientation à l'intention des Parties contractantes à la Convention de Barcelone concernant l'identification et la désignation de zones maritimes particulièrement sensibles en relation avec les aires spécialement protégées d'importance méditerranéenne</t>
  </si>
  <si>
    <t xml:space="preserve">% de PC ayant téléchargé / reçu ces directives </t>
  </si>
  <si>
    <t>● Les Directives révisées pour l'identification et la désignation des zones maritimes particulièrement sensibles (PSSA) (résolution A.982(24)) ;</t>
  </si>
  <si>
    <r>
      <rPr>
        <sz val="12"/>
        <color rgb="FF000000"/>
        <rFont val="Calibri Light"/>
        <family val="2"/>
        <charset val="1"/>
      </rPr>
      <t xml:space="preserve">● </t>
    </r>
    <r>
      <rPr>
        <sz val="12"/>
        <rFont val="Calibri Light"/>
        <family val="2"/>
        <charset val="1"/>
      </rPr>
      <t>La Note d'orientation sur l'élaboration des propositions relatives aux systèmes de déclaration de routage des navires (MSC.1/Circ.1060, version modifiée) ;</t>
    </r>
  </si>
  <si>
    <r>
      <rPr>
        <sz val="12"/>
        <color rgb="FF000000"/>
        <rFont val="Calibri Light"/>
        <family val="2"/>
        <charset val="1"/>
      </rPr>
      <t>●</t>
    </r>
    <r>
      <rPr>
        <sz val="12"/>
        <rFont val="Calibri Light"/>
        <family val="2"/>
        <charset val="1"/>
      </rPr>
      <t xml:space="preserve"> La Procédure de soumission de documents contenant des propositions d'établissement ou de modification des systèmes de routage ou de déclaration des navires (MSC.1-Circ.1608) ; et</t>
    </r>
  </si>
  <si>
    <r>
      <rPr>
        <sz val="12"/>
        <color rgb="FF000000"/>
        <rFont val="Calibri Light"/>
        <family val="2"/>
        <charset val="1"/>
      </rPr>
      <t xml:space="preserve">● </t>
    </r>
    <r>
      <rPr>
        <sz val="12"/>
        <rFont val="Calibri Light"/>
        <family val="2"/>
        <charset val="1"/>
      </rPr>
      <t>Les Lignes directrices révisées pour les services de trafic maritime, y compris les lignes directrices sur le recrutement, les qualifications et la formation des exploitants du service de trafic maritime (A.857(20)).</t>
    </r>
  </si>
  <si>
    <t>Examiner les recommandations de « l'atelier conjoint CBI-UICN-ACCOBAMS sur la manière dont les données et le processus utilisés pour identifier les zones de protection marine importantes (IMMA) peuvent aider à identifier les zones à haut risque de collision avec les navires » (6-7 avril 2019, Messénie, Grèce), telles que présentées dans l'Annexe de la Résolution 7.12 de l'ACCOBAMS, et plus particulièrement en ce qui concerne (i) le processus de désignation d'une PSSA par l'OMI à une échelle qui inclut la mer Méditerranée du Nord-Ouest, la pente et le canyon IMMA, et éventuellement le corridor espagnol, et (ii) les mesures de réduction des risques dans la tranchée hellénique.</t>
  </si>
  <si>
    <t>% de PC au courant de ces recommandations</t>
  </si>
  <si>
    <t>Accroître la sensibilisation à tous les outils d'aide à la décision mis à la disposition des PC et de l'industrie</t>
  </si>
  <si>
    <t xml:space="preserve">PCs </t>
  </si>
  <si>
    <t>%de PC ayant accès à de tels outils</t>
  </si>
  <si>
    <t xml:space="preserve">6.13 Outils d’aide à la prise de décision  </t>
  </si>
  <si>
    <t xml:space="preserve">6.15 Recherche et développement </t>
  </si>
  <si>
    <t>Effectuer les études requises pour une soumission à l’OMI répondant à tous les critères de désignation d'une zone particulière en tant que PSSA et zones spéciales en vertu de MARPOL</t>
  </si>
  <si>
    <t xml:space="preserve">Nombre d'études réalisées par les PC intéressées </t>
  </si>
  <si>
    <t xml:space="preserve">Au moins 1 / à définir </t>
  </si>
  <si>
    <t>OSC 7 - Identifier et comprendre collectivement les problèmes émergents liés à la pollution provenant des navires en Méditerranée, et définir les mesures nécessaires pour traiter les problèmes identifiés</t>
  </si>
  <si>
    <t>OSC 7</t>
  </si>
  <si>
    <t>7.1 Réseaux</t>
  </si>
  <si>
    <t xml:space="preserve">Identification d'un réseau pertinent pour chaque problème au fur et à mesure de leur apparition, et participation active à ce réseau sur le problème identifié </t>
  </si>
  <si>
    <t>% de PC participant activement à des réseaux liés à des problèmes émergents spécifiquement identifiés</t>
  </si>
  <si>
    <t>7.2 Renforcement des capacités / Coopération technique</t>
  </si>
  <si>
    <t xml:space="preserve"> Identification des besoins en formation et mise en œuvre ultérieure de la formation liée aux problèmes émergents au fur et à mesure qu'ils se présentent </t>
  </si>
  <si>
    <t>Nombre de personnes formées pour chaque problème émergent</t>
  </si>
  <si>
    <t>Nombre suffisant de personnel à former</t>
  </si>
  <si>
    <t xml:space="preserve">7.3 Opérations </t>
  </si>
  <si>
    <t xml:space="preserve">7.4 Gouvernance </t>
  </si>
  <si>
    <t>Inclure la discussion des « questions nouvelles et émergentes » en tant que point de l’ordre du jour de la réunion de la Stratégie méditerranéenne (2022-2031)</t>
  </si>
  <si>
    <t>Nombre de discussions tenues sur les questions nouvelles et émergentes potentielles</t>
  </si>
  <si>
    <t>Une par an</t>
  </si>
  <si>
    <t xml:space="preserve">7.4 Gouvernance  </t>
  </si>
  <si>
    <t>Soumettre des propositions pour l'inclusion de nouvelles questions émergentes pour évaluer la nécessité d'une Stratégie et d'un Plan d’action révisés lors de la réunion de la Stratégie méditerranéenne (2022-2031).</t>
  </si>
  <si>
    <t>Nombre de soumissions</t>
  </si>
  <si>
    <t>Autant que nécessaire</t>
  </si>
  <si>
    <t xml:space="preserve">7.15 Recherche et développement </t>
  </si>
  <si>
    <t>Soutenir et participer à des initiatives de recherche et de développement pour étudier les questions nouvelles et émergentes liées à la pollution des navires en Méditerranée.</t>
  </si>
  <si>
    <t>Ministry of Environment, Urbanisation and Climate Change, General Directorate of Environment Management, Department of Marine and Coast Management (MEUCC, GDEM-DMCM)</t>
  </si>
  <si>
    <t>Two ministries (MTI and MEUCC) follow the MENELAS rules. The responsibilities are followed by the frame of the Barcelona Convention</t>
  </si>
  <si>
    <t>Ministry of Transport and Infrastructure; Maritime General Directorate, Department of Marine Environment (MTI, MGD-DME)</t>
  </si>
  <si>
    <t xml:space="preserve">Participation in the working group is done. Technical documantation are done. The revision are done according to the requirements.MTI and MEUCC work together and they participate the working group according to their interests.
</t>
  </si>
  <si>
    <t>The ministrries (MTI) participate the expert groups working groups. MTI follow the meetings and give national responses.</t>
  </si>
  <si>
    <t>The ministrries (MTI) participate the expert groups working groups.</t>
  </si>
  <si>
    <t>MEUCC and MTI and other related ministries poaricipated and exhange the peer learning in the meetings</t>
  </si>
  <si>
    <t xml:space="preserve">
</t>
  </si>
  <si>
    <t>The practical actions of the accidental pollution has been organising periodicaly.Two ministries (MTI and MEUCC) work together periodically</t>
  </si>
  <si>
    <t>Two ministries (MTI and MEUCC) work together periodically</t>
  </si>
  <si>
    <t>Ministry of Environment, Urbanisation and Climate Change, General Directorate of Air Management</t>
  </si>
  <si>
    <t>Two ministries (MTI and MEUCC) work together periodically. MEUCC respoınsible and trained the people accordingly</t>
  </si>
  <si>
    <t>A draft regulation on ship-based waste management was prepared. According to this regulation reception facilities have to train their personnel</t>
  </si>
  <si>
    <t>MEUCC delegated authority of its responsibilities to the four municipalities (their coastal territories), Gost Guard (all marine areas), and MTI (port areas). They organize periodically and/or notice-based surveillance of their responsible areas. According to their needs.</t>
  </si>
  <si>
    <t>MARPOL and all annexes are followed by the responsible ministries (MEUCC and MTI). All requirements of these regulations are under national responsibilities. Because MARPOL  annexes are ratified by publishing official Gazzette. New personnel is trained to requirements. According to their needs.</t>
  </si>
  <si>
    <t>People who had trained in the maritime take extra training to be port state controllers. After training, they have an exam to pass and be PSC.  They do this exam when the new PSC requirement.</t>
  </si>
  <si>
    <t>MTI members tahe this course when they need. They take the courses when they need.</t>
  </si>
  <si>
    <t>Within the framework of the coastal facilities Emergency Response plans, training is given to the persons assigned to the facilities. These trainings are held within the scope of the "Training and Practice Circular".</t>
  </si>
  <si>
    <t>The two ministries are responsible for this action. They train their personnel according to their requirements and also responsibilities. The attendance of the training is defined by their interests and the requirements of the ministries.Requirement based.</t>
  </si>
  <si>
    <t>In Türkiye, emergency response plans are prepared for three tears such as Tier-1: Coastal facilities; Tier-2 Municipalities based and Tier-3: National Based. The related Ministries especially MEUCC and MTI work together. In the plans all actions and responsibilities are defined.</t>
  </si>
  <si>
    <t>National and international regulations are followed. It is renewed when needed. In 2022, the draft "Regulation on Ship Waste Management" was published. In 2019, the "Environmental Law" was amended and the amount and types of fines were increased. The draft law is in parliament. In addition, the maritime waste application circular numbered 2020-21 has been issued.</t>
  </si>
  <si>
    <t>MTI is a partner of the EMSA group and connections are awaibale when it needs</t>
  </si>
  <si>
    <t xml:space="preserve">MTI infrastructure and legislations are awailabkle. </t>
  </si>
  <si>
    <t>According to the national legislation the full-scale national exercises do at the national level.</t>
  </si>
  <si>
    <t>According to the national legislation coastal facilities do communication exercise every six months according to the national legislations.</t>
  </si>
  <si>
    <t>According to the national legislation coastal facilities do table-top exercise every six months according to the national legislations.</t>
  </si>
  <si>
    <t>In 2018, 128 training programs were organized, 2257 certificates were approved and 233 drills were arranged. Applied exercises and trainings are carried out locally and regularly.</t>
  </si>
  <si>
    <t>The maritime accident research group established under MTI investigates and reports the accidents, and the lesson learned from the accidents are transferred to the domestic legislation.</t>
  </si>
  <si>
    <t>This activity belongs to two ministries. MEUCC has participated in the MENELAC meetings and they presented the present situation in the national status. MEUCC delegated authority of its responsibilities to the four municipalities (their coastal territories), Gost Guard (all marine areas), and MTI (port areas). They organize periodically and/or notice-based surveillance of their responsible areas.</t>
  </si>
  <si>
    <t>The requirements are taken into consideration</t>
  </si>
  <si>
    <t>If the ship pays its guarantee, it is sent without waiting. This process is applied as defined in laws, regulations, and directives.</t>
  </si>
  <si>
    <t>MTI organise and follow-up analysis of concentrated inspection campaigns on MARPOL-related deficiencies</t>
  </si>
  <si>
    <t>MARPOL related deficiencies are entered into the THETIS-MED system regularly.</t>
  </si>
  <si>
    <t>THETIS-MED data base is being used. The sertificate and requirements are under control by MTI.</t>
  </si>
  <si>
    <t>Türkiye has therş contingency plan but there is no regional entegration.</t>
  </si>
  <si>
    <t>Ministry of Environment, Urbanisation and Climate Change, General Directorate of Environment Management, Department of Marine and Coast Management (MEUCC, GDEM-DMCM)- Climate Change related</t>
  </si>
  <si>
    <t xml:space="preserve"> The 2002 Prevention and Emergency Protocol is merged into the National law (Law No. 5312 Pertaining to Principles of Emergency Response and Compensation for Damages in Pollution of Marine Environment by Oil and Other Harmful Substances).</t>
  </si>
  <si>
    <t>Turkey became a party of the MARPOL Annex 1, II and V in 1990; and for the Annex III, IV and VI in 2013. While the international focus for MARPOL and its Annexes is MTI, its compliance with national legislation is MEUCC's responsibility. MARPOL and its annexes have been transposed into national legislation and its requirements are fulfilled on a national basis.</t>
  </si>
  <si>
    <t>Became a party in 1990. MARPOL and its annexes have been transposed into national legislation and its requirements are fulfilled on a national basis.</t>
  </si>
  <si>
    <t>Became a party in 2000. After 5312 law accepted this protocol is merged into the National law (Law No. 5312 Pertaining to Principles of Emergency Response and Compensation for Damages in Pollution of Marine Environment by Oil and Other Harmful Substances). MARPOL and its annexes have been transposed into national legislation and its requirements are fulfilled on a national basis.</t>
  </si>
  <si>
    <t>Became a party in 1992. After 5312 law accepted this protocol is merged into the National law (Law No. 5312 Pertaining to Principles of Emergency Response and Compensation for Damages in Pollution of Marine Environment by Oil and Other Harmful Substances).</t>
  </si>
  <si>
    <t>Became a party in 2001. All requirements are follow.</t>
  </si>
  <si>
    <t>Became a party in 1992. After 5312 law accepted this protocol is merged into the National law (Law No. 5312 Pertaining to Principles of Emergency Response and Compensation for Damages in Pollution of Marine Environment by Oil and Other Harmful Substances). MARPOL and its annexes have been transposed into national legislation and its requirements are fulfilled on a national basis.</t>
  </si>
  <si>
    <t>Became a party in 2010. After 5312 law accepted this protocol is merged into the National law (Law No. 5312 Pertaining to Principles of Emergency Response and Compensation for Damages in Pollution of Marine Environment by Oil and Other Harmful Substances).</t>
  </si>
  <si>
    <t>Responsibility in this title is fulfilled by both MTI and MEUCC. Compliance with the legislation is inspected in the audit carried out by the inspectors of the IMO according to the IMO circular. MEUCC is audited on the basis of facility and legislation. In this context, a circular was published. MTI has published the IMSAS legislation.</t>
  </si>
  <si>
    <t>MARPOL and all annexes did not transpose into the national laws but all MARPOL and its annexes were published in the Official Gazette and ratified.</t>
  </si>
  <si>
    <t>Marine oil pollution detection/investigation reports are prepared under the MTI. The maritime accident investigating group publishes these reports independently.</t>
  </si>
  <si>
    <t>The rules of the punishment is defined by MEUCC, MTI, defined municipalities and the Coast Guard is enforcing the penalties on the field. In practise.</t>
  </si>
  <si>
    <t>The MARPOL Requirements are follow.</t>
  </si>
  <si>
    <t xml:space="preserve">The process is carried out within the scope of "Regulation on Receiving Waste from Ships and Control of Waste, 2004".In compliance with the 2009/3 numbered edict on Fees and Principles to be Applied within the Framework of Waste Reception and Waste Control Regulation, ships in Turkey provide financial contribution that is needed for the continuance of services provided by waste reception facilities. Ships that pay a fixed fee can deliver certain types and amount of waste free of charge and for other amounts ships are charged per m3. Other principles on fees are described in the abovementioned edict. </t>
  </si>
  <si>
    <t>The process is carried out within the scope of "Regulation on Receiving Waste from Ships and Control of Waste, 2004".</t>
  </si>
  <si>
    <t>The national regulation is identified the rules</t>
  </si>
  <si>
    <t>Coastal facilities and responsible emergency response companies are ready by means of preparedness.</t>
  </si>
  <si>
    <t>Under the the MTI national level preparadness, by means of equipment and human resources  are identified according to the 5312 Law. And m any emergency companies are organised.</t>
  </si>
  <si>
    <t>Under the the MTI national level preparadness, by means of equipment and human resources  are identified according to the 5312 Law. And many emergency companies are organised.</t>
  </si>
  <si>
    <t>The storage area of the emergency response tools identified.</t>
  </si>
  <si>
    <t>Under the the MTI national level preparadness, by means of equipment and human resources  are identified according to the 5312 Law. And there are emergency response equipments and personel are awailable in the areas. These areas are determined by MTI.</t>
  </si>
  <si>
    <t>MTI has partnerships with EMSA regularly.</t>
  </si>
  <si>
    <t>Ministry of Environment, Urbanisation and Climate Change, General Directorate of Environmental Impact Assessment, Permission and Inspection</t>
  </si>
  <si>
    <t>Municipalities and Minitries have capabilitiy for the survailence in some metropolitans</t>
  </si>
  <si>
    <t>As a country, we can provide participation and reach to CleanSeaNet. Active participation is ensured in the studies carried out</t>
  </si>
  <si>
    <t>As a country, we can provide participation and reach to Earth observation service. Active participation is ensured in the studies carried out.</t>
  </si>
  <si>
    <t>As a country, AIS-based traffic monitoring services offered by EMSA (e.g. SafeSeaNet Ecosystem Graphical User Interface (SEG) and the regional cooperation entities (e.g. Mediterranean regional AIS server (MAREƩ)) can be reachable. In addition to that, we have also a national AIS system.</t>
  </si>
  <si>
    <t>Türkiye is a part of the emergency communication system for the whole m-Mediterranean</t>
  </si>
  <si>
    <t>Two responsible ministries (MEUCC and MTI) produced the gudilines and updated when needed.</t>
  </si>
  <si>
    <t>There are no downloading statistics on national-based. The reality is to use always downloaded guidelines until the newest one is published.</t>
  </si>
  <si>
    <t>The first, second and third tear emergency plans were prepared and these plans are under the revision. Each ship has its own emergency plan.</t>
  </si>
  <si>
    <t xml:space="preserve">Ministry of Agriculture and Forestry, General Directorate of Fisheries and Aquaculture (MAF, GDFA) </t>
  </si>
  <si>
    <t>MAF has an action about this subject</t>
  </si>
  <si>
    <t>One in two year reporting and yearly reporting if necessary are done.</t>
  </si>
  <si>
    <t>There is a decision tools is called "YAKAMOS" but this tool needs to be updated.The system is quite complecated  and need serios investment.</t>
  </si>
  <si>
    <t>Reporting is doing in every year. Related ministries (MEUCC and MTI) give their opinion to the responsible ministry and compiled reports are submitted.</t>
  </si>
  <si>
    <t>Reporting is doing in every year. Related ministries give their opinion to the responsible ministry and compiled reports are submitted.</t>
  </si>
  <si>
    <t>Reporting is doing in every year. Related ministries give their opinion to the responsible ministry and compiled reports are submitted. MEUCC delegated authority of its responsibilities to the four municipalities (their coastal territories), Gost Guard (all marine areas), and MTI (port areas). They organize periodically and/or notice-based surveillance of their responsible areas.</t>
  </si>
  <si>
    <t>Reporting is doing in every year according to the MARPOl (MEPC/Circ.318). Related ministries give their opinion if needed.</t>
  </si>
  <si>
    <t>Ministry of Foreign Affairs, General Directorate of Environment, Climate Change and Transboundary Waters</t>
  </si>
  <si>
    <t>Ministries, universities workk on these subject and they produce knowledge at a national level.</t>
  </si>
  <si>
    <t>MTI and MEUCC are worked in this network if necessary (IMO working groups). but there were no network till now.</t>
  </si>
  <si>
    <t xml:space="preserve">Denetimlerin nasıl yapılması gerektiği ile ilgili eğitimler ihtiyaç duyulduğunda verilmektedir. Port state controllers 
Training on how to conduct inspections is provided when needed. Port state controllers have this training. </t>
  </si>
  <si>
    <t xml:space="preserve">Denetimlerin nasıl yapılması gerektiği ile ilgili eğitimler ihtiyaç duyulduğunda verilmektedir. Port state controllers </t>
  </si>
  <si>
    <t>Port state controllers perform fuel compliance checks and annual carbon emissions from ships are reported to IMO.</t>
  </si>
  <si>
    <t xml:space="preserve">Training on how to conduct inspections is provided when needed. Port state controllers have this training. </t>
  </si>
  <si>
    <t>Penalties regarding emissions were agreed and approved in June 2022.</t>
  </si>
  <si>
    <t>Participation is provided as a party to all issues regulated by IMO.</t>
  </si>
  <si>
    <t>All contracts and cooperation agreements to which the country is a party are either integrated into the national legislation or accepted by being published in the official gazette.</t>
  </si>
  <si>
    <t>The IMO strategy (MEPC 304(72)) regarding emissions from ships is being implemented.</t>
  </si>
  <si>
    <t>MARPOL and its annexes are follow in the national laws. Blue fund requirements are follow</t>
  </si>
  <si>
    <t>MARPOL and its annexes (Annex VI) is accepted by being published in the official gazette. In addition to that Annex VI is entegrated into the national legislation also.</t>
  </si>
  <si>
    <t xml:space="preserve">It is implemented and sometimes corrections are made when need. </t>
  </si>
  <si>
    <t>It is implemented</t>
  </si>
  <si>
    <t>MTI is prepared an instruction and implement. And MEUCC delegates authority, relevant authorities impose penalties in accordance with relevant national laws and regulations.</t>
  </si>
  <si>
    <t>In practise</t>
  </si>
  <si>
    <t>The regulation of the reception facilities is subject to the "Ship Waste Regulation" and penalties are applied in this context. IMO decision is valid since 1 Jan.2020)</t>
  </si>
  <si>
    <t>2020</t>
  </si>
  <si>
    <t>It is legally required to use sulfur-reduced fuel or install a scraper on the ship's chimneys. Inspections and penalties are made accordingly. In progress.</t>
  </si>
  <si>
    <t>It is legally required to use sulfur-reduced fuel or install a scraper on the ship's chimneys. Inspections and penalties are made accordingly.</t>
  </si>
  <si>
    <t>There is some studies related to this issue. If this subject is evaluated uncder the IMO then MTI is entegreted.</t>
  </si>
  <si>
    <t>Survalience and monitoring issues are Surveillance and monitoring work is entrusted by MEUCC to MTI, Coast Guard, and four metropolitan municipalities. Follow-ups and penalties are given by these institutions. In progress.</t>
  </si>
  <si>
    <t>All contracts and cooperation agreements to which the country is a party are either integrated into the national legislation or accepted by being published in the official gazette. MTI related titles are monitored by MTI.</t>
  </si>
  <si>
    <t>All guidelines related to the GloMEEP are followed.</t>
  </si>
  <si>
    <t>All guidelines and resolutions (MEPC.245(66) are followed.</t>
  </si>
  <si>
    <t>All guidelines and resolutions (MEPC.282(70) are followed.</t>
  </si>
  <si>
    <t>All guidelines and resolutions (MEPC.254(67) are followed.</t>
  </si>
  <si>
    <t>All guidelines and resolutions (MEPC.231(65) are followed.</t>
  </si>
  <si>
    <t>All guidelines and resolutions (MEPC.308(73) are followed.</t>
  </si>
  <si>
    <t>There are some pilot studies</t>
  </si>
  <si>
    <t>The active paticipation of the project meetings</t>
  </si>
  <si>
    <t>The reporting under MARPOL Annex VI, Regulation 22, taking into consideration the guidance notes as set out in MEPC.320(74), MEPC.282(70), MEPC.292(71), MEPC.293(71) are done regularly.</t>
  </si>
  <si>
    <t>There are some pilot studies done by private , and governmental organisaitions</t>
  </si>
  <si>
    <t>Follow the MENELAS and other international obligations. Participation provided from both MEUCC and MTI in the SOx/NOx technical group workshop under the scope of the Barcelona Convention. During the workshop, the decision to declare the Mediterranean region as an emission control area was discussed and this decision is being evaluated in the MEPC.</t>
  </si>
  <si>
    <t>MARPOl Annex VI requirements are followed as an international obligation</t>
  </si>
  <si>
    <t>Participation provided from both MEUCC and MTI in the SOx/NOx technical group workshop under the scope of the Barcelona Convention. During the workshop, the decision to declare the Mediterranean region as an emission control area was discussed and this decision is being evaluated in the MEPC.</t>
  </si>
  <si>
    <t>It is obligatory to use SOx/NOx reducing devices to reduce ship emissions or to use sulfur-free fuel. This study is not specific to marine acidification but is a measure taken for general emission pollution."Zero Waste-Blue" is completely related to solid wastes.  NGOs, and universities are doing many activities/projects to raise public awareness. " Ship Waste Management Regulation (Draft)" is prepared, and this regulation covers all wastes based on ship.</t>
  </si>
  <si>
    <t>Draft regulation "Ship Waste Management Regulation" is prepared.</t>
  </si>
  <si>
    <t>Within the framework of Barcelona Convention, Decision IG.24/8 Road map was completed and turned into a decision. It is discussed at MEPC.</t>
  </si>
  <si>
    <t>SOx related regulation is prepared but not NOx.</t>
  </si>
  <si>
    <t>Like all Maropol and its Annexes, the requirements are follow.</t>
  </si>
  <si>
    <t>After MARPOL and all its Annexes (I, II, III, IV, V, VI) were adopted, they were enacted and transferred to domestic legislation and are used as such. In practise.</t>
  </si>
  <si>
    <t>The requirements of the IMSAS is fallow</t>
  </si>
  <si>
    <t>The requirements of the MARPOL Annex VI is fallow</t>
  </si>
  <si>
    <t>The revised "draft Environmental Law (no: 2872)" was submitted to the parliament by amending the environmental law numbered 2872</t>
  </si>
  <si>
    <t>All announcements were done.</t>
  </si>
  <si>
    <t>Limitation is applicable in the national rules</t>
  </si>
  <si>
    <t>Low sulfur and/or scrubber preferences and limitation is applicable in the national rules.</t>
  </si>
  <si>
    <t>Within the scope of the green port project, some incentives are provided by the state.</t>
  </si>
  <si>
    <t>MEUCC's have delegated authority to four metropolitan municipalities (Istanbul, Kocaeli, Mersin, and Antalya), MTI, and Coast Guard. Thus, surveillance and monitoring are carried out through these institutions. In practise.</t>
  </si>
  <si>
    <t>Inspection and penalty practices are carried out in accordance with the relevant national and international directives.</t>
  </si>
  <si>
    <t>MARPOL Annex VI requirements are followed as an international obligation</t>
  </si>
  <si>
    <t>Standards/Guideline of the GloMEEP Ship emissions toolkit is available.</t>
  </si>
  <si>
    <t xml:space="preserve"> GloMEEP Ship emissions toolkit guide no.2: Incorporation of MARPOL annex VI into national law is done.</t>
  </si>
  <si>
    <t>GloMEEP Ship emissions toolkit guide no.3: Development of a national ship emissions reduction strategy is available.</t>
  </si>
  <si>
    <t>GloMEEP Port emissions toolkit guide no.1: Assessment of port emissions is available</t>
  </si>
  <si>
    <t>GloMEEP Port emissions toolkit guide no.2: Development of port emissions reduction strategies is available.</t>
  </si>
  <si>
    <t>The MEPC.259(68) is applicable.</t>
  </si>
  <si>
    <t>2015</t>
  </si>
  <si>
    <t>The MEPC.321(74) is applicable.</t>
  </si>
  <si>
    <t>The MEPC.320(74) is applicable.</t>
  </si>
  <si>
    <t>The decision support tool is available. Sectorial representatives are informed.</t>
  </si>
  <si>
    <t xml:space="preserve">Türkiye is done reporting obligations under MARPOL Annex VI, Regulations, 11, 18, noting the contents of MEPC.320(74), MEPC.1/Circ.880 </t>
  </si>
  <si>
    <t>Türkiye is established monitoring systems in its ports and coastal region</t>
  </si>
  <si>
    <t>Türkiye provides information on the monitoring, reporting, and verification of SOx and NOx emissions.</t>
  </si>
  <si>
    <t xml:space="preserve">Turkey encourage CPs to participate in research and development and studies carried out on national, regional and international (within IMO) levels </t>
  </si>
  <si>
    <t xml:space="preserve">In general IMO meetings (working groups) follows by MTI </t>
  </si>
  <si>
    <t>Participation in the working group, if the invitation exists, is done.</t>
  </si>
  <si>
    <t>Participation in the working group is done.</t>
  </si>
  <si>
    <t>GPML studies are followed</t>
  </si>
  <si>
    <t xml:space="preserve">MEUCC is participated periodically the working group under the  UNEA. </t>
  </si>
  <si>
    <t>MEUCC is participated periodically the expert group under the  UNEP.</t>
  </si>
  <si>
    <t>In the process of harmonization with the EU, Turkey has made legal arrangements to fulfill the requirements of the MSFD. Many national and international projects have been carried out within the scope of ML. In addition, NGOs have also done a lot of work within the scope of ML.</t>
  </si>
  <si>
    <t>Notification is not made directly to UNEA, but notifications are made through UNEP/MAP. The report is submitted ones in two years periodically.</t>
  </si>
  <si>
    <t>Türkiye has some studies based on regional works such as "Marine Litter-MED II". "Regional plan on marine litter" is followed. Türkiye is not a member of the project.</t>
  </si>
  <si>
    <t>It is done under the scope of "0 waste"</t>
  </si>
  <si>
    <t>Not a partnership of the Norway GloLitter.</t>
  </si>
  <si>
    <t>The SAFEMED project outputs are used if necessary.</t>
  </si>
  <si>
    <t>The cooperation is follow under the Directive 2002/59/EC-VTMIS</t>
  </si>
  <si>
    <t>Coastal cleaning works are carried out on a regular basis. Municipalities, NGOs, ports, MEUCC, and the private sector do the work. In practise.</t>
  </si>
  <si>
    <t>Regional Plan on Marine Litter Management in the Mediterranean  implemented and ratified in national legislation. Provinces have prepared a "Marine Litter Action Plan" and the legislation has been implemented since 2020. These prepared action plans are compatible with the regional action plan. In practise.</t>
  </si>
  <si>
    <t>All IMO regulations are follow</t>
  </si>
  <si>
    <t>MARPOL and its Annexes were enacted directly without being integrated into national legislation. Decisions made under UNEA are enforced like national laws. In practise.</t>
  </si>
  <si>
    <t>Inspectors are examined ships before sailing about all legal requirements</t>
  </si>
  <si>
    <t>IMSAS is follow in Türkiye</t>
  </si>
  <si>
    <t>All MARPOL and its annexes (Annex V) are follow</t>
  </si>
  <si>
    <t>Being applied.</t>
  </si>
  <si>
    <t>Waste reception facilities are divided according to the characteristics of the wastes. The content and type of waste reception facilities vary according to the port. There are sections in the facilities where special garbage wastes are taken. In practise.</t>
  </si>
  <si>
    <t>No special fee system is applicable on this specific occasion</t>
  </si>
  <si>
    <t>The Project of Cleaning the Seas from Abandoned Hunting Vehicles was implemented in 2014 with the aim of cleaning the fishing gear that are forgotten or abandoned in the sea and inland waters of our country, which are known as ghost nets among the people.</t>
  </si>
  <si>
    <t>will be completed</t>
  </si>
  <si>
    <t>The wastes management plan for the ships and applications are controlled by PSCO. In the port waste reception facilities are divided according to the characteristics of the wastes. The content and type of waste reception facilities vary according to the port. There are sections in the facilities where special garbage wastes are taken. Special attention litter from ships. In practise.</t>
  </si>
  <si>
    <t>According to the Environmental Law and related regulations, there are legal framework to regulate. In practise.</t>
  </si>
  <si>
    <t>The application of the minimum fines are determined by the government under the legal base. In practise.</t>
  </si>
  <si>
    <t>MARPOL and all Annexes (including Annex V) arer follow</t>
  </si>
  <si>
    <t>Türkiye sent observers to the Paris MoU but has to participate in Mediterranean MoU cooperations.</t>
  </si>
  <si>
    <t>The evaluation of the waste is based on their types/speciations. In practise.</t>
  </si>
  <si>
    <t>In the new regulation (draft), waste is evaluated accordişng to its types. In practise.</t>
  </si>
  <si>
    <t>Each port has port reception facilities. Completed and in practise.</t>
  </si>
  <si>
    <t>Cooperation with fishermen is carried out within the scope of the national action plan.</t>
  </si>
  <si>
    <t>Dissemination is done.</t>
  </si>
  <si>
    <t>MARPOL and its annexes are follow in the national laws. Blue fund requirements are follow.</t>
  </si>
  <si>
    <t>The Res. MEPC.310(73)) is follow</t>
  </si>
  <si>
    <t>MARPOL Annex V (Res.MEPC.295(71) is follow</t>
  </si>
  <si>
    <t>All ships are evaluated in the same category. In practise.</t>
  </si>
  <si>
    <t>The decision of the UNEP/MAP is applied. In practise.</t>
  </si>
  <si>
    <t>it is available</t>
  </si>
  <si>
    <t>Raising awareness with 0-Waste Blue guides released in 2020</t>
  </si>
  <si>
    <t>Is is done under the zero waste studies.</t>
  </si>
  <si>
    <t>The mandatory reporting obligations under the London Convention, the London Protocol, MARPOL Annex V, and on a regional basis, the Dumping Protocol is followed.</t>
  </si>
  <si>
    <t>Monitoring is carried out 3 times a year under the UNEP/MAP IMAP.</t>
  </si>
  <si>
    <t>In the port reception facilities are separated according to the types of the port wastes</t>
  </si>
  <si>
    <t>there are many national an institution based projects.</t>
  </si>
  <si>
    <t>IMO meetings and IMO related subjects are under the MTI responsibilities and their pareticipation are supplied.</t>
  </si>
  <si>
    <t>Türkiye is a part of the BWM strategy. The requirements are followed</t>
  </si>
  <si>
    <t>Ministry of Environment, Urbanisation and Climate Change, General Directorate of Conservation of Natural Assets</t>
  </si>
  <si>
    <t>Türkiye contribute the SPA/RAC  activities actively.</t>
  </si>
  <si>
    <t>Türkiye contribute the EMSA  activities actively.</t>
  </si>
  <si>
    <t>Two ministries (MEUCC and MTI) work together.</t>
  </si>
  <si>
    <t xml:space="preserve">Türkiye is a part of the AFS convention </t>
  </si>
  <si>
    <t>Related ministries contact to the SAFEMED project outputs when necessary</t>
  </si>
  <si>
    <t>Related ministries contact the EMSA under the Directive 2002/59/EC-VTMIS when necessary</t>
  </si>
  <si>
    <t>Türkiye is a part of the BMV convention and AFS convention</t>
  </si>
  <si>
    <t>Türkiye is entegrated the Mediterranean  region monitoring and enforcement system</t>
  </si>
  <si>
    <t>Türkiye is a part of the BMV convention and AFS convention and requirements are followed</t>
  </si>
  <si>
    <t>When the ship is towed to the shipyard, the ship ballast water sediments are given to the sediment waste reception facility in the shipyard.</t>
  </si>
  <si>
    <t>Testing of the ballast water samples are done in the universities laboratories (especially Biology departments)</t>
  </si>
  <si>
    <t>MTI follows all IMO circulars like MEPC.1/Circ.792.</t>
  </si>
  <si>
    <t>MTI follows all IMO circulars like MEPC.1/Circ.811</t>
  </si>
  <si>
    <t>Guidelines Concerning Pleasure Craft Activities and the Protection of the Marine Environment in the Mediterranean (Decision IG 17/9) are followed.</t>
  </si>
  <si>
    <t>The studies are continued</t>
  </si>
  <si>
    <t>Guidelines for Sediment Reception Facilities (G1) (MEPC.152(55)) are ready and they are controlled according to related  legislations.</t>
  </si>
  <si>
    <t xml:space="preserve"> Guidelines for Ballast Water Sampling (G2) (MEPC.173(58)) are ready and they are controlled according to related legislations.</t>
  </si>
  <si>
    <t>Guidelines for Ballast Water Management equivalent compliance (G3) (MEPC.123(53))are ready and they are controlled according to related legislations.</t>
  </si>
  <si>
    <t>Inspection and documentation is done by inspectors classified according to current rules.</t>
  </si>
  <si>
    <t>2017 Guidelines for Ballast Water Exchange (G6) (MEPC.288(71)) are ready and they are controlled according to related legislations.</t>
  </si>
  <si>
    <t>2017 Guidelines for Risk Assessment under Regulation A-4 of the BWM Convention (G7) (MEPC.289(71)) are ready and they are controlled according to related legislations.</t>
  </si>
  <si>
    <t>Guidelines for approval of Ballast Water Management Systems (G8) (MEPC.279(70)) are ready and they are controlled according to related legislations.</t>
  </si>
  <si>
    <t>The equipmnets of the ships are tested by classified inspectors.</t>
  </si>
  <si>
    <t>Guidelines for Ballast Water exchange design and construction standards (G11) (MEPC.149(55)) are ready and they are controlled according to related legislation.</t>
  </si>
  <si>
    <t xml:space="preserve">2012 Guidelines on design and construction to facilitate sediment control on ships (G12) (MEPC.209(63)) are ready and they are controlled according to related legislation. </t>
  </si>
  <si>
    <t>Guidelines for additional measures regarding ballast water management including emergency situations (G13) (MEPC.161(56)) are ready and they are controlled according to related legislation.</t>
  </si>
  <si>
    <t>Guidelines on the designation of areas for ballast water exchange (G14) (MEPC.151(55)) are ready and they are controlled according to related legislation.</t>
  </si>
  <si>
    <t>The activity on the Experience-building phase associated with the BWM Convention, (MEPC.290(71)) is in progress.</t>
  </si>
  <si>
    <t>Implementation of the BWM Convention, (MEPC.287(71)) are followed.</t>
  </si>
  <si>
    <t>Guidelines for Port State Control under the BWM Convention, (MEPC.252(67)) are followed</t>
  </si>
  <si>
    <t>Information reporting on type-approved ballast water management systems, (MEPC.228(65)) are ready and they are controlled according to related legislation.</t>
  </si>
  <si>
    <t>Procedures for approving other methods of ballast water management in accordance with Regulation B-37 of the BWM Convention, (MEPC.206(62)) are ready.</t>
  </si>
  <si>
    <t>Installation of ballast water management systems on new ships in accordance with the application dates contained in the BWM Convention, (MEPC.188(60)) are ready and followed.</t>
  </si>
  <si>
    <t>The procedure for the Application of the BWM Convention to ships operating in sea areas where ballast water exchange in accordance with requirements B-4.1 and D-1 is not possible, (BWM.2/Circ.63)) is ready.</t>
  </si>
  <si>
    <t>Guidance on contingency measures under the BWM Convention, (BWM.2/Circ.62))</t>
  </si>
  <si>
    <t>Guidance on methodologies that may be used for enumerating viable organisms for type approval of ballast water management systems, (BWM.2/Circ.61)) is ready and used.</t>
  </si>
  <si>
    <t xml:space="preserve"> Guidance on best management practices for removal of anti-fouling coatings from ships including TBT hull paints, (AFS.3/Circ.3))</t>
  </si>
  <si>
    <t xml:space="preserve"> 2010 Guidelines for Survey and Certification of Anti-Fouling Systems on Ships, MEPC.195(61)) is followed.</t>
  </si>
  <si>
    <t>The project called Ballast Water management is completed and the risk assessments were also identified.</t>
  </si>
  <si>
    <t>MTI and the Ministry of Agriculture and Forestry share  the information and get opinions during the reporting</t>
  </si>
  <si>
    <t>The Biology departments in many universities have experience in biological monitoring.</t>
  </si>
  <si>
    <t>To participate in IMO and Industry initiatives on new technologies and studies both on national and regional levels are participated.</t>
  </si>
  <si>
    <t>Units of the MEUCC such as General Directorate of Environmental Impact Assessment, Permission and Inspection, and the General Directorate of Conservation of Natural Assets are working together with the Ministry of Agriculture and Forestry's related units.</t>
  </si>
  <si>
    <t>Units of the MEUCC such as General Directorate of Environmental Impact Assessment, Permission and Inspection, and the General Directorate of Conservation of Natural Assets are working together with the Ministry of Agriculture and Forestry's and MTI related units.</t>
  </si>
  <si>
    <t xml:space="preserve">Units of the MEUCC such as General Directorate of Environmental Impact Assessment, Permission and Inspection, and the General Directorate of Conservation of Natural Assets are working together </t>
  </si>
  <si>
    <t>The activity is continued</t>
  </si>
  <si>
    <t xml:space="preserve">The application of MARPOL Annex IV about Special Area under Prevention of pollution by sewage of black and grey water is under the control by regulations. Two ministries (MEUCC and MTI) works together </t>
  </si>
  <si>
    <t>The routing system is available in many places in the Mediterranean such as Mersin Harbour, and İzmir Harbour. According to the requirement, the system may establish.</t>
  </si>
  <si>
    <t>The acceptance of the ships in place of refuges identifies</t>
  </si>
  <si>
    <t>MTI and the Ministry of Agriculture and Forestry work together</t>
  </si>
  <si>
    <t>MTI and the MEUCC work together</t>
  </si>
  <si>
    <t>This general Directorate delegates the authority to the MTI, Coast Guard, and defined municipalities.</t>
  </si>
  <si>
    <t>Türkiye has a VTS system and according to the requirements, the system is builted.</t>
  </si>
  <si>
    <t>Barcelona Convention and its related documents are followed either integrated into the in national.</t>
  </si>
  <si>
    <t>The guidelines are revising for the identification and designation of Particularly Sensitive Sea Areas (PSSAs) ( resolution A.982(24)) </t>
  </si>
  <si>
    <t xml:space="preserve"> Guidance notes on the preparation of proposals on ships' routing reporting systems (MSC.1/Circ.1060, as amended) are followed.</t>
  </si>
  <si>
    <t>Procedure for the submission of documents containing proposals for the establishment of, or amendments to, ships' routeing systems or ship reporting systems (MSC.1-Circ.1608) are followed.</t>
  </si>
  <si>
    <t>Revised Guidelines for vessel traffic services, including Guidelines on Recruitment, Qualifications, and Training of VTS Operators (A.857(20)) are followed.</t>
  </si>
  <si>
    <t>MTI works with MAF</t>
  </si>
  <si>
    <t>MEUCC works with MTI and MAF</t>
  </si>
  <si>
    <t>MEUCC works with MTI</t>
  </si>
  <si>
    <t>The training activities are continued according to the personnel requirements</t>
  </si>
  <si>
    <t>Finanaical ask?</t>
  </si>
  <si>
    <t>Financial offer</t>
  </si>
  <si>
    <t xml:space="preserve">% CPs interested in activity </t>
  </si>
  <si>
    <t>Activity needed?</t>
  </si>
  <si>
    <t>2022;</t>
  </si>
  <si>
    <t xml:space="preserve">2022; </t>
  </si>
  <si>
    <t>2023 It should be considered with action 3.9.2;</t>
  </si>
  <si>
    <t>2023 It should be considered with action 2.9.1;</t>
  </si>
  <si>
    <t>2023 It should be considered with action 4.15.2, action 4.1.5.3;</t>
  </si>
  <si>
    <t>2023 It should be considered with action 4.15.1, action 4.1.5.3;</t>
  </si>
  <si>
    <t>2023 It should be considered with action 4.15.1, action 4.1.5.2;</t>
  </si>
  <si>
    <t>Need for synergies between activities offered?</t>
  </si>
  <si>
    <t>No. CPs interested in activity</t>
  </si>
  <si>
    <t>Immediate discussion required Y/N</t>
  </si>
  <si>
    <t>CSO1</t>
  </si>
  <si>
    <t>CSO2</t>
  </si>
  <si>
    <t>CSO3</t>
  </si>
  <si>
    <t>CSO4</t>
  </si>
  <si>
    <t>CSO5</t>
  </si>
  <si>
    <t>CSO6</t>
  </si>
  <si>
    <t>CSO7</t>
  </si>
  <si>
    <t>counting aide</t>
  </si>
  <si>
    <t>greyed out</t>
  </si>
  <si>
    <t>total</t>
  </si>
  <si>
    <t>sum</t>
  </si>
  <si>
    <t>total that can be poplated by all</t>
  </si>
  <si>
    <t>total that can be populated by CPs</t>
  </si>
  <si>
    <t>total that can be populated stakeholder</t>
  </si>
  <si>
    <t>All CSOs combined</t>
  </si>
  <si>
    <t>Required / Expected Delivery Year CPs</t>
  </si>
  <si>
    <t>% of actions with no activity or service offered</t>
  </si>
  <si>
    <t>% of actions with activities occuring / offered under each CSO</t>
  </si>
  <si>
    <t>% of actions with activities offered</t>
  </si>
  <si>
    <t>Progress of activity</t>
  </si>
  <si>
    <t>Breakdown of activity offered</t>
  </si>
  <si>
    <t>Funding available (EURO)</t>
  </si>
  <si>
    <t>All CSOs</t>
  </si>
  <si>
    <t>10 REMPEC Overview of status and offers</t>
  </si>
  <si>
    <t>11 EMSA Overview of status and offers</t>
  </si>
  <si>
    <t>5 CEDRE Overview of status and offers</t>
  </si>
  <si>
    <t>1 UfM Overview of status and offers</t>
  </si>
  <si>
    <t>2 OSRL Overview of status and offers</t>
  </si>
  <si>
    <t>3 Federchimica Overview of status and offers</t>
  </si>
  <si>
    <t>4 IOI Overview of status and offers</t>
  </si>
  <si>
    <t>6 PAM Overview of status and offers</t>
  </si>
  <si>
    <t>7 CLIA Overview of status and offers</t>
  </si>
  <si>
    <t>9 Med Cruise Overview of status and offers</t>
  </si>
  <si>
    <t>12 West Med Overview of status and offers</t>
  </si>
  <si>
    <t>13 OC Overview of status and offers</t>
  </si>
  <si>
    <t>14 Sea Alarm Overview of status and offers</t>
  </si>
  <si>
    <t>15 ITOPF Overview of status and offers</t>
  </si>
  <si>
    <t>Technical Group among the institutional representatives of the 10 countries of the WestMED sub-basin, aiming at jointly tackling the environmental challenge, through the topic of Sustainable Maritime Transport and Alternative Fuels</t>
  </si>
  <si>
    <t>Three pilot projects, as expression of the three priorities identified by the countries' representatives</t>
  </si>
  <si>
    <t>Online meetings to debate about sustainability of the maritime transport, sharing views and fixing common priorities; engaging stakeholders to compose project partnerships for the pilot actions identified</t>
  </si>
  <si>
    <t>WestMED Assistance Mechanism - Central Team, Italian National Hub</t>
  </si>
  <si>
    <t>conclusion of the first WestMED Assistance Mechanism round</t>
  </si>
  <si>
    <t>2020-2022</t>
  </si>
  <si>
    <t>Technical, capacity building, networking</t>
  </si>
  <si>
    <t>After setting common priorities for the 10 countries, the TG has focused on the composition of the partnerships, to submit EU funded project proposals focused on the pilot actions</t>
  </si>
  <si>
    <t>The preparation and submission of project proposals is currently undergoing, focusing on HORIZON EUROPE, EMFAF, INTERREG funds and other possible sources.</t>
  </si>
  <si>
    <t>Establishing a regional observatory (starting from WestMED pilot) for sustainable energy for green shipping (ports&amp;fleets).
Objective is to assess the state of the art and future potentials in research and innovation, for technological chains and solutions aimed at fostering sustainable energy for Mediterranean ports and fleets.</t>
  </si>
  <si>
    <t>Piloting and implementing the set-up of the observatory, starting from the WestMED sub-basin, to be potentially scaled up - throughout the project - to all the Mediterranean countries</t>
  </si>
  <si>
    <t xml:space="preserve">University of Genova - CIELI </t>
  </si>
  <si>
    <t>currently "embedded" in a larger project under submission, by the same partnership of stakeholders</t>
  </si>
  <si>
    <t>if approved, 2023-2026</t>
  </si>
  <si>
    <t>Assessment and modelling</t>
  </si>
  <si>
    <t>Building upon the experience on the INTERREG ITA-FR Maritime cluster of LNG projects</t>
  </si>
  <si>
    <t xml:space="preserve">“Observatory of sustainable energy technologies for green transport” </t>
  </si>
  <si>
    <t>Network of WestMED and African Maritime Ports as Energy Communities</t>
  </si>
  <si>
    <t>under definition</t>
  </si>
  <si>
    <t>Establishing a network of ports testing the concept of energy communities in the Mediterranean basin and beyond, through the energy modelling system</t>
  </si>
  <si>
    <t>Project proposal under preparation and submission</t>
  </si>
  <si>
    <t>Assessment, modelling, pilot implementation</t>
  </si>
  <si>
    <t>Making valuable the Mediterranean-Atlantic interaction between EU and African ports</t>
  </si>
  <si>
    <t>3 mln Euro ca.</t>
  </si>
  <si>
    <t>The preparation and submission of project proposals is currently undergoing, focusing on HORIZON EUROPE.</t>
  </si>
  <si>
    <t>Assessment of adaptation costs for greening local infrastructures and vessels, so to have an overall cost assessment for their transition to fully sustainable sources of fuel and other energy/propulsion means.</t>
  </si>
  <si>
    <t>“Boost adaptation of WestMED commercial vessels (ferries and service)”</t>
  </si>
  <si>
    <t>Testing the potentials for adaptation of small-scale commercial vessels (including local ferries and service vessels) in accelerating their transition to sustainable energy. Adopting the example of an established cruise/shipping companies, which have already undertaken the path towards their fleet refitting/renewals with sustainable propulsion systems</t>
  </si>
  <si>
    <t>to be defined</t>
  </si>
  <si>
    <t xml:space="preserve">Project proposal under preparation </t>
  </si>
  <si>
    <t>Providing a compass to shipowners to identify the suitable solution for their fleets</t>
  </si>
  <si>
    <t>tbd</t>
  </si>
  <si>
    <t>The preparation of the project proposal is currently undergoing, focusing on HORIZON EUROPE, EMFAF, INTERREG funds and other possible sources.</t>
  </si>
  <si>
    <t>Beyond the requirements of MARPOL, CLIA Members have agreed by industry-level policy to exceed regulatory requirements through implementation of enhanced waste management practices. The CLIA Waste management policy, among others, is available at https://cruising.org/ebout-the-industry/policy-priorities/clia-oceangoing-cruise-line-policies</t>
  </si>
  <si>
    <t>Beyond the requirements of MARPOL, CLIA Members have agreed by industry-level policy to exceed regulatory requirements through implementation of enhanced waste management practices, including for sewage treatment. Port reception facilities that are adequate and available to meet the needs of ships are an integral component of cruis industry policy and ship operations. The CLIA Waste management policy, among others, is available at https://cruising.org/ebout-the-industry/policy-priorities/clia-oceangoing-cruise-line-policies</t>
  </si>
  <si>
    <t>; ongoing</t>
  </si>
  <si>
    <t>Stakeholder</t>
  </si>
  <si>
    <t>% of actions with activities being undertaken</t>
  </si>
  <si>
    <t>REMPEC</t>
  </si>
  <si>
    <t>UfM</t>
  </si>
  <si>
    <t>OSRL</t>
  </si>
  <si>
    <t>Federchimica</t>
  </si>
  <si>
    <t>IOI</t>
  </si>
  <si>
    <t>PAM</t>
  </si>
  <si>
    <t>CLIA</t>
  </si>
  <si>
    <t>Med Cruise</t>
  </si>
  <si>
    <t>OC</t>
  </si>
  <si>
    <t>ITOPF</t>
  </si>
  <si>
    <t>CP</t>
  </si>
  <si>
    <t>ALBANIA</t>
  </si>
  <si>
    <t>% of actions not started</t>
  </si>
  <si>
    <t>Bosnia &amp; Herzegovina</t>
  </si>
  <si>
    <t>ISRAEL</t>
  </si>
  <si>
    <t>Montenegro</t>
  </si>
  <si>
    <t>Tunisia</t>
  </si>
  <si>
    <t>Türkiye</t>
  </si>
  <si>
    <t>All Action</t>
  </si>
  <si>
    <t>Needs per CSO</t>
  </si>
  <si>
    <t>stakeholder offers per CSO</t>
  </si>
  <si>
    <t>All Responses</t>
  </si>
  <si>
    <t>8 IPIECA Overview of status and offers</t>
  </si>
  <si>
    <t>#</t>
  </si>
  <si>
    <t>IPIECA</t>
  </si>
  <si>
    <t>WestMed</t>
  </si>
  <si>
    <t>Contracting Party 1</t>
  </si>
  <si>
    <t>Contracting Party 2</t>
  </si>
  <si>
    <t>Contracting Party 3</t>
  </si>
  <si>
    <t>Contracting Party 4</t>
  </si>
  <si>
    <t>Contracting Party 5</t>
  </si>
  <si>
    <t>Contracting Party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</si>
</sst>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1809]#,##0"/>
    <numFmt numFmtId="165" formatCode="[$€-2]\ #,##0;[Red]\-[$€-2]\ #,##0"/>
    <numFmt numFmtId="166" formatCode="[$€-2]\ #,##0"/>
    <numFmt numFmtId="167" formatCode="mmmm\ yyyy"/>
    <numFmt numFmtId="168" formatCode="0.0%"/>
  </numFmts>
  <fonts count="75">
    <font>
      <sz val="11"/>
      <color theme="1"/>
      <name val="Calibri"/>
      <family val="2"/>
      <scheme val="minor"/>
    </font>
    <font>
      <sz val="11"/>
      <color theme="1"/>
      <name val="Calibri"/>
      <family val="2"/>
      <scheme val="minor"/>
    </font>
    <font>
      <u/>
      <sz val="11"/>
      <color theme="10"/>
      <name val="Calibri"/>
      <family val="2"/>
      <scheme val="minor"/>
    </font>
    <font>
      <b/>
      <sz val="12"/>
      <color theme="1"/>
      <name val="Calibri Light"/>
      <family val="2"/>
      <scheme val="major"/>
    </font>
    <font>
      <sz val="12"/>
      <color theme="1"/>
      <name val="Calibri Light"/>
      <family val="2"/>
      <scheme val="major"/>
    </font>
    <font>
      <b/>
      <sz val="12"/>
      <color rgb="FF000000"/>
      <name val="Calibri Light"/>
      <family val="2"/>
      <scheme val="major"/>
    </font>
    <font>
      <sz val="12"/>
      <color rgb="FF000000"/>
      <name val="Calibri Light"/>
      <family val="2"/>
      <scheme val="major"/>
    </font>
    <font>
      <i/>
      <sz val="12"/>
      <color theme="1"/>
      <name val="Calibri Light"/>
      <family val="2"/>
      <scheme val="major"/>
    </font>
    <font>
      <vertAlign val="subscript"/>
      <sz val="12"/>
      <color theme="1"/>
      <name val="Calibri Light"/>
      <family val="2"/>
      <scheme val="major"/>
    </font>
    <font>
      <sz val="12"/>
      <name val="Calibri Light"/>
      <family val="2"/>
      <scheme val="major"/>
    </font>
    <font>
      <b/>
      <sz val="8"/>
      <color theme="1"/>
      <name val="Calibri Light"/>
      <family val="2"/>
      <scheme val="major"/>
    </font>
    <font>
      <sz val="8"/>
      <color theme="1"/>
      <name val="Calibri Light"/>
      <family val="2"/>
      <scheme val="major"/>
    </font>
    <font>
      <sz val="8"/>
      <color rgb="FF000000"/>
      <name val="Calibri Light"/>
      <family val="2"/>
      <scheme val="major"/>
    </font>
    <font>
      <b/>
      <sz val="8"/>
      <color rgb="FFFFFFFF"/>
      <name val="Calibri Light"/>
      <family val="2"/>
      <scheme val="major"/>
    </font>
    <font>
      <sz val="8"/>
      <name val="Calibri Light"/>
      <family val="2"/>
      <scheme val="major"/>
    </font>
    <font>
      <sz val="12"/>
      <color theme="1"/>
      <name val="Calibri"/>
      <family val="2"/>
      <scheme val="minor"/>
    </font>
    <font>
      <sz val="14"/>
      <color theme="1"/>
      <name val="Calibri"/>
      <family val="2"/>
      <scheme val="minor"/>
    </font>
    <font>
      <b/>
      <sz val="14"/>
      <color theme="1"/>
      <name val="Calibri"/>
      <family val="2"/>
      <scheme val="minor"/>
    </font>
    <font>
      <b/>
      <sz val="11"/>
      <color rgb="FF444444"/>
      <name val="Calibri"/>
      <family val="2"/>
      <charset val="1"/>
    </font>
    <font>
      <sz val="12"/>
      <color theme="1"/>
      <name val="Calibri Light"/>
      <family val="2"/>
      <scheme val="major"/>
    </font>
    <font>
      <sz val="12"/>
      <color theme="1"/>
      <name val="Calibri"/>
      <family val="2"/>
    </font>
    <font>
      <b/>
      <sz val="11"/>
      <color rgb="FFFFFFFF"/>
      <name val="Calibri"/>
      <family val="2"/>
      <charset val="1"/>
    </font>
    <font>
      <i/>
      <sz val="11"/>
      <color theme="1"/>
      <name val="Calibri"/>
      <family val="2"/>
    </font>
    <font>
      <sz val="12"/>
      <color rgb="FFFF0000"/>
      <name val="Calibri Light"/>
      <family val="2"/>
    </font>
    <font>
      <sz val="12"/>
      <color rgb="FF3E474C"/>
      <name val="Georgia"/>
      <family val="1"/>
    </font>
    <font>
      <sz val="10"/>
      <color theme="1"/>
      <name val="Arial"/>
      <family val="2"/>
    </font>
    <font>
      <sz val="11"/>
      <color rgb="FF000000"/>
      <name val="Calibri"/>
      <family val="2"/>
    </font>
    <font>
      <b/>
      <sz val="12"/>
      <color rgb="FF000000"/>
      <name val="Calibri"/>
      <family val="2"/>
    </font>
    <font>
      <b/>
      <sz val="8"/>
      <color rgb="FF000000"/>
      <name val="Calibri"/>
      <family val="2"/>
    </font>
    <font>
      <sz val="12"/>
      <color rgb="FF000000"/>
      <name val="Calibri"/>
      <family val="2"/>
    </font>
    <font>
      <b/>
      <sz val="11"/>
      <color rgb="FF444444"/>
      <name val="Calibri"/>
      <family val="2"/>
    </font>
    <font>
      <sz val="8"/>
      <color rgb="FF000000"/>
      <name val="Calibri"/>
      <family val="2"/>
    </font>
    <font>
      <sz val="12"/>
      <color rgb="FF000000"/>
      <name val="Calibri Light"/>
      <family val="2"/>
    </font>
    <font>
      <i/>
      <sz val="12"/>
      <color rgb="FF000000"/>
      <name val="Calibri"/>
      <family val="2"/>
    </font>
    <font>
      <sz val="15"/>
      <color rgb="FF000000"/>
      <name val="Arial"/>
      <family val="2"/>
    </font>
    <font>
      <sz val="12"/>
      <color rgb="FF000000"/>
      <name val="&quot;Times New Roman&quot;"/>
      <charset val="1"/>
    </font>
    <font>
      <sz val="12"/>
      <color rgb="FF000000"/>
      <name val="&quot;Titillium Web&quot;"/>
      <charset val="1"/>
    </font>
    <font>
      <i/>
      <sz val="12"/>
      <color rgb="FF000000"/>
      <name val="Arial"/>
      <family val="2"/>
    </font>
    <font>
      <sz val="12"/>
      <color rgb="FF000000"/>
      <name val="Arial"/>
      <family val="2"/>
    </font>
    <font>
      <b/>
      <sz val="12"/>
      <color rgb="FF000000"/>
      <name val="Calibri Light"/>
      <family val="2"/>
    </font>
    <font>
      <sz val="8"/>
      <color rgb="FF000000"/>
      <name val="Calibri Light"/>
      <family val="2"/>
    </font>
    <font>
      <b/>
      <sz val="8"/>
      <color rgb="FFFFFFFF"/>
      <name val="Calibri Light"/>
      <family val="2"/>
    </font>
    <font>
      <b/>
      <sz val="8"/>
      <color rgb="FF000000"/>
      <name val="Calibri Light"/>
      <family val="2"/>
    </font>
    <font>
      <sz val="12"/>
      <color rgb="FF000000"/>
      <name val="Gotham"/>
      <charset val="1"/>
    </font>
    <font>
      <sz val="33"/>
      <color rgb="FF000000"/>
      <name val="Pg-14ff5"/>
      <charset val="1"/>
    </font>
    <font>
      <b/>
      <sz val="11"/>
      <color rgb="FF000000"/>
      <name val="Calibri"/>
      <family val="2"/>
    </font>
    <font>
      <vertAlign val="subscript"/>
      <sz val="12"/>
      <color rgb="FF000000"/>
      <name val="Calibri Light"/>
      <family val="2"/>
    </font>
    <font>
      <sz val="12"/>
      <color rgb="FF000000"/>
      <name val="Docs-Calibri"/>
      <charset val="1"/>
    </font>
    <font>
      <sz val="11"/>
      <color rgb="FF000000"/>
      <name val="Arial"/>
      <family val="2"/>
    </font>
    <font>
      <u/>
      <sz val="12"/>
      <color rgb="FF000000"/>
      <name val="Calibri"/>
      <family val="2"/>
    </font>
    <font>
      <b/>
      <sz val="14"/>
      <color rgb="FF000000"/>
      <name val="Calibri"/>
      <family val="2"/>
    </font>
    <font>
      <sz val="14"/>
      <color rgb="FF000000"/>
      <name val="Calibri"/>
      <family val="2"/>
    </font>
    <font>
      <sz val="12"/>
      <color theme="1"/>
      <name val="Calibri Light"/>
      <family val="1"/>
      <scheme val="major"/>
    </font>
    <font>
      <sz val="11"/>
      <color rgb="FF000000"/>
      <name val="Calibri"/>
      <family val="2"/>
      <charset val="1"/>
    </font>
    <font>
      <b/>
      <sz val="12"/>
      <color rgb="FF000000"/>
      <name val="Calibri Light"/>
      <family val="2"/>
      <charset val="1"/>
    </font>
    <font>
      <b/>
      <sz val="8"/>
      <color rgb="FF000000"/>
      <name val="Calibri Light"/>
      <family val="2"/>
      <charset val="1"/>
    </font>
    <font>
      <sz val="12"/>
      <color rgb="FF000000"/>
      <name val="Calibri Light"/>
      <family val="2"/>
      <charset val="1"/>
    </font>
    <font>
      <sz val="8"/>
      <color rgb="FF000000"/>
      <name val="Calibri Light"/>
      <family val="2"/>
      <charset val="1"/>
    </font>
    <font>
      <sz val="12"/>
      <color rgb="FF000000"/>
      <name val="Calibri"/>
      <family val="2"/>
      <charset val="1"/>
    </font>
    <font>
      <i/>
      <sz val="12"/>
      <color rgb="FF000000"/>
      <name val="Calibri Light"/>
      <family val="2"/>
      <charset val="1"/>
    </font>
    <font>
      <i/>
      <sz val="12"/>
      <color rgb="FF222222"/>
      <name val="Arial"/>
      <family val="2"/>
      <charset val="1"/>
    </font>
    <font>
      <b/>
      <sz val="8"/>
      <color rgb="FFFFFFFF"/>
      <name val="Calibri Light"/>
      <family val="2"/>
      <charset val="1"/>
    </font>
    <font>
      <vertAlign val="subscript"/>
      <sz val="12"/>
      <color rgb="FF000000"/>
      <name val="Calibri Light"/>
      <family val="2"/>
      <charset val="1"/>
    </font>
    <font>
      <sz val="8"/>
      <name val="Calibri Light"/>
      <family val="2"/>
      <charset val="1"/>
    </font>
    <font>
      <sz val="12"/>
      <name val="Calibri Light"/>
      <family val="2"/>
      <charset val="1"/>
    </font>
    <font>
      <sz val="11"/>
      <color rgb="FF000000"/>
      <name val="Calibri Light"/>
      <family val="2"/>
      <charset val="1"/>
    </font>
    <font>
      <sz val="10.5"/>
      <color rgb="FF000000"/>
      <name val="Calibri Light"/>
      <family val="2"/>
      <charset val="1"/>
    </font>
    <font>
      <sz val="12"/>
      <color theme="1"/>
      <name val="Calibri Light"/>
      <family val="2"/>
      <charset val="162"/>
      <scheme val="major"/>
    </font>
    <font>
      <b/>
      <sz val="11"/>
      <color theme="1"/>
      <name val="Calibri"/>
      <family val="2"/>
      <scheme val="minor"/>
    </font>
    <font>
      <sz val="8"/>
      <name val="Calibri"/>
      <family val="2"/>
      <scheme val="minor"/>
    </font>
    <font>
      <sz val="12"/>
      <color theme="1"/>
      <name val="Calibri Light"/>
      <scheme val="major"/>
    </font>
    <font>
      <sz val="11"/>
      <color theme="0"/>
      <name val="Calibri"/>
      <family val="2"/>
      <scheme val="minor"/>
    </font>
    <font>
      <b/>
      <sz val="14"/>
      <name val="Calibri"/>
      <family val="2"/>
      <scheme val="minor"/>
    </font>
    <font>
      <sz val="11"/>
      <name val="Calibri"/>
      <family val="2"/>
      <scheme val="minor"/>
    </font>
    <font>
      <b/>
      <sz val="14"/>
      <name val="Calibri"/>
      <family val="2"/>
    </font>
  </fonts>
  <fills count="39">
    <fill>
      <patternFill patternType="none"/>
    </fill>
    <fill>
      <patternFill patternType="gray125"/>
    </fill>
    <fill>
      <patternFill patternType="solid">
        <fgColor rgb="FFC6D9F1"/>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ED7D31"/>
        <bgColor indexed="64"/>
      </patternFill>
    </fill>
    <fill>
      <patternFill patternType="solid">
        <fgColor rgb="FFFFC000"/>
        <bgColor indexed="64"/>
      </patternFill>
    </fill>
    <fill>
      <patternFill patternType="solid">
        <fgColor rgb="FF5B9BD5"/>
        <bgColor indexed="64"/>
      </patternFill>
    </fill>
    <fill>
      <patternFill patternType="solid">
        <fgColor rgb="FF92D050"/>
        <bgColor indexed="64"/>
      </patternFill>
    </fill>
    <fill>
      <patternFill patternType="solid">
        <fgColor rgb="FF9966FF"/>
        <bgColor indexed="64"/>
      </patternFill>
    </fill>
    <fill>
      <patternFill patternType="solid">
        <fgColor rgb="FFFF9999"/>
        <bgColor indexed="64"/>
      </patternFill>
    </fill>
    <fill>
      <patternFill patternType="solid">
        <fgColor rgb="FFA5A5A5"/>
        <bgColor indexed="64"/>
      </patternFill>
    </fill>
    <fill>
      <patternFill patternType="solid">
        <fgColor rgb="FFC6D9F1"/>
        <bgColor rgb="FFD8D8D8"/>
      </patternFill>
    </fill>
    <fill>
      <patternFill patternType="solid">
        <fgColor rgb="FFFFFFFF"/>
        <bgColor rgb="FFF2F2F2"/>
      </patternFill>
    </fill>
    <fill>
      <patternFill patternType="solid">
        <fgColor rgb="FFED7D31"/>
        <bgColor rgb="FFFF8080"/>
      </patternFill>
    </fill>
    <fill>
      <patternFill patternType="solid">
        <fgColor rgb="FFD8D8D8"/>
        <bgColor rgb="FFC6D9F1"/>
      </patternFill>
    </fill>
    <fill>
      <patternFill patternType="solid">
        <fgColor rgb="FF84BDDC"/>
        <bgColor rgb="FFA5A5A5"/>
      </patternFill>
    </fill>
    <fill>
      <patternFill patternType="solid">
        <fgColor rgb="FFA5A5A5"/>
        <bgColor rgb="FF84BDDC"/>
      </patternFill>
    </fill>
    <fill>
      <patternFill patternType="solid">
        <fgColor rgb="FFFFC000"/>
        <bgColor rgb="FFFF9900"/>
      </patternFill>
    </fill>
    <fill>
      <patternFill patternType="solid">
        <fgColor rgb="FF5B9BD5"/>
        <bgColor rgb="FF84BDDC"/>
      </patternFill>
    </fill>
    <fill>
      <patternFill patternType="solid">
        <fgColor rgb="FF92D050"/>
        <bgColor rgb="FFA5A5A5"/>
      </patternFill>
    </fill>
    <fill>
      <patternFill patternType="solid">
        <fgColor rgb="FF9966FF"/>
        <bgColor rgb="FFCC99FF"/>
      </patternFill>
    </fill>
    <fill>
      <patternFill patternType="solid">
        <fgColor rgb="FFFF9999"/>
        <bgColor rgb="FFFF8080"/>
      </patternFill>
    </fill>
    <fill>
      <patternFill patternType="solid">
        <fgColor rgb="FFC6D9F1"/>
        <bgColor rgb="FFD9D9D9"/>
      </patternFill>
    </fill>
    <fill>
      <patternFill patternType="solid">
        <fgColor rgb="FFD9D9D9"/>
        <bgColor rgb="FFC6D9F1"/>
      </patternFill>
    </fill>
    <fill>
      <patternFill patternType="solid">
        <fgColor rgb="FFA5A5A5"/>
        <bgColor rgb="FF808080"/>
      </patternFill>
    </fill>
    <fill>
      <patternFill patternType="solid">
        <fgColor rgb="FF5B9BD5"/>
        <bgColor rgb="FF808080"/>
      </patternFill>
    </fill>
    <fill>
      <patternFill patternType="solid">
        <fgColor rgb="FF9966FF"/>
        <bgColor rgb="FF808080"/>
      </patternFill>
    </fill>
    <fill>
      <patternFill patternType="solid">
        <fgColor rgb="FFF2F2F2"/>
        <bgColor rgb="FFDEEBF7"/>
      </patternFill>
    </fill>
    <fill>
      <patternFill patternType="solid">
        <fgColor rgb="FFD9D9D9"/>
        <bgColor rgb="FFDAE3F3"/>
      </patternFill>
    </fill>
    <fill>
      <patternFill patternType="solid">
        <fgColor rgb="FFDAE3F3"/>
        <bgColor rgb="FFDDEBF7"/>
      </patternFill>
    </fill>
    <fill>
      <patternFill patternType="solid">
        <fgColor rgb="FF808080"/>
        <bgColor rgb="FFA5A5A5"/>
      </patternFill>
    </fill>
    <fill>
      <patternFill patternType="solid">
        <fgColor rgb="FFA5A5A5"/>
        <bgColor rgb="FFBFBFBF"/>
      </patternFill>
    </fill>
    <fill>
      <patternFill patternType="solid">
        <fgColor rgb="FFE7E6E6"/>
        <bgColor rgb="FFDEEBF7"/>
      </patternFill>
    </fill>
    <fill>
      <patternFill patternType="solid">
        <fgColor rgb="FFBFBFBF"/>
        <bgColor rgb="FFD9D9D9"/>
      </patternFill>
    </fill>
    <fill>
      <patternFill patternType="solid">
        <fgColor rgb="FFF2F2F2"/>
        <bgColor rgb="FFE7E6E6"/>
      </patternFill>
    </fill>
  </fills>
  <borders count="48">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26" fillId="0" borderId="0"/>
    <xf numFmtId="0" fontId="53" fillId="0" borderId="0"/>
    <xf numFmtId="9" fontId="53" fillId="0" borderId="0" applyBorder="0" applyProtection="0"/>
  </cellStyleXfs>
  <cellXfs count="645">
    <xf numFmtId="0" fontId="0" fillId="0" borderId="0" xfId="0"/>
    <xf numFmtId="0" fontId="4" fillId="0" borderId="0" xfId="0" applyFont="1" applyAlignment="1">
      <alignment vertical="top" wrapText="1"/>
    </xf>
    <xf numFmtId="0" fontId="4" fillId="4" borderId="0" xfId="0" applyFont="1" applyFill="1" applyAlignment="1">
      <alignment vertical="top" wrapText="1"/>
    </xf>
    <xf numFmtId="0" fontId="0" fillId="0" borderId="0" xfId="0" applyAlignment="1">
      <alignment vertical="top" wrapText="1"/>
    </xf>
    <xf numFmtId="0" fontId="0" fillId="0" borderId="0" xfId="0" applyAlignment="1">
      <alignment wrapText="1"/>
    </xf>
    <xf numFmtId="0" fontId="4" fillId="5" borderId="0" xfId="0" applyFont="1" applyFill="1" applyAlignment="1">
      <alignment vertical="top" wrapText="1"/>
    </xf>
    <xf numFmtId="0" fontId="3" fillId="2" borderId="6" xfId="0" applyFont="1" applyFill="1" applyBorder="1" applyAlignment="1">
      <alignment vertical="top" wrapText="1"/>
    </xf>
    <xf numFmtId="0" fontId="5" fillId="2" borderId="6" xfId="0" applyFont="1" applyFill="1" applyBorder="1" applyAlignment="1">
      <alignment vertical="top" wrapText="1"/>
    </xf>
    <xf numFmtId="0" fontId="4" fillId="0" borderId="6" xfId="0" applyFont="1" applyBorder="1" applyAlignment="1">
      <alignment vertical="top" wrapText="1"/>
    </xf>
    <xf numFmtId="9" fontId="4" fillId="0" borderId="6" xfId="0" applyNumberFormat="1" applyFont="1" applyBorder="1" applyAlignment="1">
      <alignment vertical="top" wrapText="1"/>
    </xf>
    <xf numFmtId="0" fontId="7" fillId="0" borderId="6" xfId="0" applyFont="1" applyBorder="1" applyAlignment="1">
      <alignment vertical="top" wrapText="1"/>
    </xf>
    <xf numFmtId="9" fontId="7" fillId="0" borderId="6" xfId="0" applyNumberFormat="1" applyFont="1" applyBorder="1" applyAlignment="1">
      <alignment vertical="top" wrapText="1"/>
    </xf>
    <xf numFmtId="0" fontId="6" fillId="0" borderId="6" xfId="0" applyFont="1" applyBorder="1" applyAlignment="1">
      <alignment vertical="top" wrapText="1"/>
    </xf>
    <xf numFmtId="0" fontId="6" fillId="3" borderId="6" xfId="0" applyFont="1" applyFill="1" applyBorder="1" applyAlignment="1">
      <alignment vertical="top" wrapText="1"/>
    </xf>
    <xf numFmtId="0" fontId="4" fillId="3" borderId="6" xfId="0" applyFont="1" applyFill="1" applyBorder="1" applyAlignment="1">
      <alignment vertical="top" wrapText="1"/>
    </xf>
    <xf numFmtId="9" fontId="6" fillId="0" borderId="6" xfId="0" applyNumberFormat="1" applyFont="1" applyBorder="1" applyAlignment="1">
      <alignment vertical="top" wrapText="1"/>
    </xf>
    <xf numFmtId="9" fontId="6" fillId="3" borderId="6" xfId="0" applyNumberFormat="1" applyFont="1" applyFill="1" applyBorder="1" applyAlignment="1">
      <alignment vertical="top" wrapText="1"/>
    </xf>
    <xf numFmtId="9" fontId="4" fillId="0" borderId="6" xfId="1" applyFont="1" applyBorder="1" applyAlignment="1">
      <alignment vertical="top" wrapText="1"/>
    </xf>
    <xf numFmtId="0" fontId="9" fillId="0" borderId="6" xfId="0" applyFont="1" applyBorder="1" applyAlignment="1">
      <alignment vertical="top" wrapText="1"/>
    </xf>
    <xf numFmtId="0" fontId="6" fillId="5" borderId="6" xfId="0" applyFont="1" applyFill="1" applyBorder="1" applyAlignment="1">
      <alignment vertical="top" wrapText="1"/>
    </xf>
    <xf numFmtId="0" fontId="4" fillId="5" borderId="6" xfId="0" applyFont="1" applyFill="1" applyBorder="1" applyAlignment="1">
      <alignment vertical="top" wrapText="1"/>
    </xf>
    <xf numFmtId="0" fontId="0" fillId="4" borderId="0" xfId="0" applyFill="1"/>
    <xf numFmtId="9" fontId="4" fillId="5" borderId="6" xfId="0" applyNumberFormat="1" applyFont="1" applyFill="1" applyBorder="1" applyAlignment="1">
      <alignment vertical="top" wrapText="1"/>
    </xf>
    <xf numFmtId="9" fontId="9" fillId="0" borderId="6" xfId="0" applyNumberFormat="1" applyFont="1" applyBorder="1" applyAlignment="1">
      <alignment vertical="top" wrapText="1"/>
    </xf>
    <xf numFmtId="0" fontId="9" fillId="5" borderId="6" xfId="0" applyFont="1" applyFill="1" applyBorder="1" applyAlignment="1">
      <alignment vertical="top" wrapText="1"/>
    </xf>
    <xf numFmtId="9" fontId="9" fillId="5" borderId="6" xfId="0" applyNumberFormat="1" applyFont="1" applyFill="1" applyBorder="1" applyAlignment="1">
      <alignment vertical="top" wrapText="1"/>
    </xf>
    <xf numFmtId="0" fontId="4" fillId="6" borderId="0" xfId="0" applyFont="1" applyFill="1" applyAlignment="1">
      <alignment vertical="top" wrapText="1"/>
    </xf>
    <xf numFmtId="0" fontId="0" fillId="6" borderId="0" xfId="0" applyFill="1" applyAlignment="1">
      <alignment vertical="top" wrapText="1"/>
    </xf>
    <xf numFmtId="0" fontId="10" fillId="2" borderId="6" xfId="0" applyFont="1" applyFill="1" applyBorder="1" applyAlignment="1">
      <alignment vertical="top" wrapText="1"/>
    </xf>
    <xf numFmtId="0" fontId="11" fillId="0" borderId="6" xfId="0" applyFont="1" applyBorder="1" applyAlignment="1">
      <alignment vertical="top" wrapText="1"/>
    </xf>
    <xf numFmtId="0" fontId="11" fillId="5" borderId="6" xfId="0" applyFont="1" applyFill="1" applyBorder="1" applyAlignment="1">
      <alignment vertical="top" wrapText="1"/>
    </xf>
    <xf numFmtId="0" fontId="14" fillId="0" borderId="6" xfId="0" applyFont="1" applyBorder="1" applyAlignment="1">
      <alignment vertical="top" wrapText="1"/>
    </xf>
    <xf numFmtId="0" fontId="14" fillId="5" borderId="6" xfId="0" applyFont="1" applyFill="1" applyBorder="1" applyAlignment="1">
      <alignment vertical="top" wrapText="1"/>
    </xf>
    <xf numFmtId="0" fontId="11" fillId="6" borderId="0" xfId="0" applyFont="1" applyFill="1" applyAlignment="1">
      <alignment vertical="top" wrapText="1"/>
    </xf>
    <xf numFmtId="0" fontId="11" fillId="0" borderId="0" xfId="0" applyFont="1" applyAlignment="1">
      <alignment vertical="top" wrapText="1"/>
    </xf>
    <xf numFmtId="0" fontId="4" fillId="5" borderId="7" xfId="0" applyFont="1" applyFill="1" applyBorder="1" applyAlignment="1">
      <alignment vertical="top" wrapText="1"/>
    </xf>
    <xf numFmtId="0" fontId="5" fillId="2" borderId="8" xfId="0" applyFont="1" applyFill="1" applyBorder="1" applyAlignment="1">
      <alignment vertical="top" wrapText="1"/>
    </xf>
    <xf numFmtId="9" fontId="4" fillId="0" borderId="8" xfId="0" applyNumberFormat="1" applyFont="1" applyBorder="1" applyAlignment="1">
      <alignment vertical="top" wrapText="1"/>
    </xf>
    <xf numFmtId="0" fontId="4" fillId="0" borderId="8" xfId="0" applyFont="1" applyBorder="1" applyAlignment="1">
      <alignment vertical="top" wrapText="1"/>
    </xf>
    <xf numFmtId="0" fontId="4" fillId="5" borderId="8" xfId="0" applyFont="1" applyFill="1" applyBorder="1" applyAlignment="1">
      <alignment vertical="top" wrapText="1"/>
    </xf>
    <xf numFmtId="0" fontId="6" fillId="0" borderId="8" xfId="0" applyFont="1" applyBorder="1" applyAlignment="1">
      <alignment vertical="top" wrapText="1"/>
    </xf>
    <xf numFmtId="0" fontId="6" fillId="3" borderId="8" xfId="0" applyFont="1" applyFill="1" applyBorder="1" applyAlignment="1">
      <alignment vertical="top" wrapText="1"/>
    </xf>
    <xf numFmtId="0" fontId="4" fillId="3" borderId="8" xfId="0" applyFont="1" applyFill="1" applyBorder="1" applyAlignment="1">
      <alignment vertical="top" wrapText="1"/>
    </xf>
    <xf numFmtId="9" fontId="6" fillId="3" borderId="8" xfId="0" applyNumberFormat="1" applyFont="1" applyFill="1" applyBorder="1" applyAlignment="1">
      <alignment vertical="top" wrapText="1"/>
    </xf>
    <xf numFmtId="0" fontId="6" fillId="5" borderId="8" xfId="0" applyFont="1" applyFill="1" applyBorder="1" applyAlignment="1">
      <alignment vertical="top" wrapText="1"/>
    </xf>
    <xf numFmtId="0" fontId="4" fillId="6" borderId="9" xfId="0" applyFont="1" applyFill="1" applyBorder="1" applyAlignment="1">
      <alignment vertical="top" textRotation="45" wrapText="1"/>
    </xf>
    <xf numFmtId="0" fontId="4" fillId="6" borderId="9" xfId="0" applyFont="1" applyFill="1" applyBorder="1" applyAlignment="1">
      <alignment vertical="top" wrapText="1"/>
    </xf>
    <xf numFmtId="9" fontId="4" fillId="6" borderId="9" xfId="0" applyNumberFormat="1" applyFont="1" applyFill="1" applyBorder="1" applyAlignment="1">
      <alignment vertical="top" wrapText="1"/>
    </xf>
    <xf numFmtId="0" fontId="6" fillId="6" borderId="9" xfId="0" applyFont="1" applyFill="1" applyBorder="1" applyAlignment="1">
      <alignment vertical="top" wrapText="1"/>
    </xf>
    <xf numFmtId="9" fontId="6" fillId="6" borderId="9" xfId="0" applyNumberFormat="1" applyFont="1" applyFill="1" applyBorder="1" applyAlignment="1">
      <alignment vertical="top" wrapText="1"/>
    </xf>
    <xf numFmtId="0" fontId="0" fillId="6" borderId="0" xfId="0" applyFill="1" applyAlignment="1">
      <alignment wrapText="1"/>
    </xf>
    <xf numFmtId="0" fontId="15" fillId="0" borderId="11" xfId="0" applyFont="1" applyBorder="1" applyAlignment="1">
      <alignment wrapText="1"/>
    </xf>
    <xf numFmtId="0" fontId="15" fillId="0" borderId="0" xfId="0" applyFont="1" applyAlignment="1">
      <alignment wrapText="1"/>
    </xf>
    <xf numFmtId="0" fontId="15" fillId="0" borderId="12" xfId="0" applyFont="1" applyBorder="1" applyAlignment="1">
      <alignment wrapText="1"/>
    </xf>
    <xf numFmtId="0" fontId="15" fillId="0" borderId="3" xfId="0" applyFont="1" applyBorder="1" applyAlignment="1">
      <alignment wrapText="1"/>
    </xf>
    <xf numFmtId="0" fontId="16" fillId="0" borderId="14" xfId="0" applyFont="1" applyBorder="1" applyAlignment="1">
      <alignment wrapText="1"/>
    </xf>
    <xf numFmtId="0" fontId="17" fillId="0" borderId="15" xfId="0" applyFont="1" applyBorder="1" applyAlignment="1">
      <alignment wrapText="1"/>
    </xf>
    <xf numFmtId="0" fontId="17" fillId="0" borderId="15" xfId="0" applyFont="1" applyBorder="1"/>
    <xf numFmtId="0" fontId="17" fillId="0" borderId="16" xfId="0" applyFont="1" applyBorder="1" applyAlignment="1">
      <alignment wrapText="1"/>
    </xf>
    <xf numFmtId="0" fontId="0" fillId="7" borderId="0" xfId="0" applyFill="1" applyAlignment="1">
      <alignment wrapText="1"/>
    </xf>
    <xf numFmtId="0" fontId="4" fillId="0" borderId="7" xfId="0" applyFont="1" applyBorder="1" applyAlignment="1">
      <alignment vertical="top" wrapText="1"/>
    </xf>
    <xf numFmtId="9" fontId="4" fillId="5" borderId="8" xfId="0" applyNumberFormat="1" applyFont="1" applyFill="1" applyBorder="1" applyAlignment="1">
      <alignment vertical="top" wrapText="1"/>
    </xf>
    <xf numFmtId="3" fontId="4" fillId="0" borderId="6" xfId="0" applyNumberFormat="1" applyFont="1" applyBorder="1" applyAlignment="1">
      <alignment vertical="top" wrapText="1"/>
    </xf>
    <xf numFmtId="0" fontId="19" fillId="0" borderId="6" xfId="0" applyFont="1" applyBorder="1" applyAlignment="1">
      <alignment vertical="top" wrapText="1"/>
    </xf>
    <xf numFmtId="0" fontId="19" fillId="5" borderId="6" xfId="0" applyFont="1" applyFill="1" applyBorder="1" applyAlignment="1">
      <alignment vertical="top" wrapText="1"/>
    </xf>
    <xf numFmtId="9" fontId="19" fillId="5" borderId="6" xfId="0" applyNumberFormat="1" applyFont="1" applyFill="1" applyBorder="1" applyAlignment="1">
      <alignment vertical="top" wrapText="1"/>
    </xf>
    <xf numFmtId="0" fontId="19" fillId="5" borderId="7" xfId="0" applyFont="1" applyFill="1" applyBorder="1" applyAlignment="1">
      <alignment vertical="top" wrapText="1"/>
    </xf>
    <xf numFmtId="9" fontId="19" fillId="6" borderId="9" xfId="0" applyNumberFormat="1" applyFont="1" applyFill="1" applyBorder="1" applyAlignment="1">
      <alignment vertical="top" wrapText="1"/>
    </xf>
    <xf numFmtId="9" fontId="19" fillId="5" borderId="8" xfId="0" applyNumberFormat="1" applyFont="1" applyFill="1" applyBorder="1" applyAlignment="1">
      <alignment vertical="top" wrapText="1"/>
    </xf>
    <xf numFmtId="0" fontId="4" fillId="0" borderId="6" xfId="0" applyFont="1" applyBorder="1" applyAlignment="1">
      <alignment horizontal="left" vertical="top" wrapText="1" indent="2"/>
    </xf>
    <xf numFmtId="0" fontId="11" fillId="3" borderId="6" xfId="0" applyFont="1" applyFill="1" applyBorder="1" applyAlignment="1">
      <alignment vertical="top" wrapText="1"/>
    </xf>
    <xf numFmtId="9" fontId="4" fillId="3" borderId="6" xfId="0" applyNumberFormat="1" applyFont="1" applyFill="1" applyBorder="1" applyAlignment="1">
      <alignment vertical="top" wrapText="1"/>
    </xf>
    <xf numFmtId="0" fontId="4" fillId="3" borderId="7" xfId="0" applyFont="1" applyFill="1" applyBorder="1" applyAlignment="1">
      <alignment vertical="top" wrapText="1"/>
    </xf>
    <xf numFmtId="0" fontId="4" fillId="3" borderId="9" xfId="0" applyFont="1" applyFill="1" applyBorder="1" applyAlignment="1">
      <alignment vertical="top" wrapText="1"/>
    </xf>
    <xf numFmtId="0" fontId="4" fillId="3" borderId="0" xfId="0" applyFont="1" applyFill="1" applyAlignment="1">
      <alignment vertical="top" wrapText="1"/>
    </xf>
    <xf numFmtId="0" fontId="19" fillId="0" borderId="19" xfId="0" applyFont="1" applyBorder="1" applyAlignment="1">
      <alignment vertical="top" wrapText="1"/>
    </xf>
    <xf numFmtId="0" fontId="4" fillId="0" borderId="19" xfId="0" applyFont="1" applyBorder="1" applyAlignment="1">
      <alignment vertical="top" wrapText="1"/>
    </xf>
    <xf numFmtId="0" fontId="11" fillId="0" borderId="19" xfId="0" applyFont="1" applyBorder="1" applyAlignment="1">
      <alignment vertical="top" wrapText="1"/>
    </xf>
    <xf numFmtId="0" fontId="4" fillId="0" borderId="20" xfId="0" applyFont="1" applyBorder="1" applyAlignment="1">
      <alignment vertical="top" wrapText="1"/>
    </xf>
    <xf numFmtId="0" fontId="11" fillId="0" borderId="20" xfId="0" applyFont="1" applyBorder="1" applyAlignment="1">
      <alignment vertical="top" wrapText="1"/>
    </xf>
    <xf numFmtId="0" fontId="4" fillId="0" borderId="20" xfId="0" applyFont="1" applyBorder="1" applyAlignment="1">
      <alignment horizontal="left" vertical="top" wrapText="1" indent="2"/>
    </xf>
    <xf numFmtId="9" fontId="4" fillId="0" borderId="20" xfId="1" applyFont="1" applyBorder="1" applyAlignment="1">
      <alignment vertical="top" wrapText="1"/>
    </xf>
    <xf numFmtId="0" fontId="4" fillId="0" borderId="21" xfId="0" applyFont="1" applyBorder="1" applyAlignment="1">
      <alignment vertical="top" wrapText="1"/>
    </xf>
    <xf numFmtId="0" fontId="4" fillId="0" borderId="22" xfId="0" applyFont="1" applyBorder="1" applyAlignment="1">
      <alignment vertical="top" wrapText="1"/>
    </xf>
    <xf numFmtId="0" fontId="4" fillId="0" borderId="23" xfId="0" applyFont="1" applyBorder="1" applyAlignment="1">
      <alignment vertical="top" wrapText="1"/>
    </xf>
    <xf numFmtId="0" fontId="11" fillId="0" borderId="23" xfId="0" applyFont="1" applyBorder="1" applyAlignment="1">
      <alignment vertical="top" wrapText="1"/>
    </xf>
    <xf numFmtId="9" fontId="4" fillId="0" borderId="23" xfId="0" applyNumberFormat="1" applyFont="1" applyBorder="1" applyAlignment="1">
      <alignment vertical="top" wrapText="1"/>
    </xf>
    <xf numFmtId="0" fontId="4" fillId="0" borderId="24" xfId="0" applyFont="1" applyBorder="1" applyAlignment="1">
      <alignment vertical="top" wrapText="1"/>
    </xf>
    <xf numFmtId="9" fontId="4" fillId="0" borderId="25" xfId="0" applyNumberFormat="1" applyFont="1" applyBorder="1" applyAlignment="1">
      <alignment vertical="top" wrapText="1"/>
    </xf>
    <xf numFmtId="0" fontId="4" fillId="0" borderId="26" xfId="0" applyFont="1" applyBorder="1" applyAlignment="1">
      <alignment vertical="top" wrapText="1"/>
    </xf>
    <xf numFmtId="0" fontId="4" fillId="0" borderId="27" xfId="0" applyFont="1" applyBorder="1" applyAlignment="1">
      <alignment vertical="top" wrapText="1"/>
    </xf>
    <xf numFmtId="0" fontId="10" fillId="8" borderId="6" xfId="0" applyFont="1" applyFill="1" applyBorder="1" applyAlignment="1">
      <alignment vertical="top" wrapText="1"/>
    </xf>
    <xf numFmtId="0" fontId="3" fillId="8" borderId="6" xfId="0" applyFont="1" applyFill="1" applyBorder="1" applyAlignment="1">
      <alignment vertical="top" wrapText="1"/>
    </xf>
    <xf numFmtId="0" fontId="5" fillId="8" borderId="6" xfId="0" applyFont="1" applyFill="1" applyBorder="1" applyAlignment="1">
      <alignment vertical="top" wrapText="1"/>
    </xf>
    <xf numFmtId="0" fontId="5" fillId="8" borderId="7" xfId="0" applyFont="1" applyFill="1" applyBorder="1" applyAlignment="1">
      <alignment vertical="top" wrapText="1"/>
    </xf>
    <xf numFmtId="0" fontId="4" fillId="8" borderId="9" xfId="0" applyFont="1" applyFill="1" applyBorder="1" applyAlignment="1">
      <alignment vertical="top" textRotation="45" wrapText="1"/>
    </xf>
    <xf numFmtId="0" fontId="5" fillId="8" borderId="8" xfId="0" applyFont="1" applyFill="1" applyBorder="1" applyAlignment="1">
      <alignment vertical="top" wrapText="1"/>
    </xf>
    <xf numFmtId="0" fontId="18" fillId="8" borderId="0" xfId="0" applyFont="1" applyFill="1"/>
    <xf numFmtId="0" fontId="18" fillId="9" borderId="0" xfId="0" applyFont="1" applyFill="1"/>
    <xf numFmtId="0" fontId="11" fillId="9" borderId="6" xfId="0" applyFont="1" applyFill="1" applyBorder="1" applyAlignment="1">
      <alignment vertical="top" wrapText="1"/>
    </xf>
    <xf numFmtId="0" fontId="4" fillId="9" borderId="6" xfId="0" applyFont="1" applyFill="1" applyBorder="1" applyAlignment="1">
      <alignment vertical="top" wrapText="1"/>
    </xf>
    <xf numFmtId="0" fontId="4" fillId="9" borderId="7" xfId="0" applyFont="1" applyFill="1" applyBorder="1" applyAlignment="1">
      <alignment vertical="top" wrapText="1"/>
    </xf>
    <xf numFmtId="0" fontId="4" fillId="9" borderId="9" xfId="0" applyFont="1" applyFill="1" applyBorder="1" applyAlignment="1">
      <alignment vertical="top" wrapText="1"/>
    </xf>
    <xf numFmtId="0" fontId="4" fillId="9" borderId="8" xfId="0" applyFont="1" applyFill="1" applyBorder="1" applyAlignment="1">
      <alignment vertical="top" wrapText="1"/>
    </xf>
    <xf numFmtId="0" fontId="18" fillId="10" borderId="0" xfId="0" applyFont="1" applyFill="1"/>
    <xf numFmtId="0" fontId="11" fillId="10" borderId="6" xfId="0" applyFont="1" applyFill="1" applyBorder="1" applyAlignment="1">
      <alignment vertical="top" wrapText="1"/>
    </xf>
    <xf numFmtId="0" fontId="4" fillId="10" borderId="6" xfId="0" applyFont="1" applyFill="1" applyBorder="1" applyAlignment="1">
      <alignment vertical="top" wrapText="1"/>
    </xf>
    <xf numFmtId="9" fontId="4" fillId="10" borderId="6" xfId="0" applyNumberFormat="1" applyFont="1" applyFill="1" applyBorder="1" applyAlignment="1">
      <alignment vertical="top" wrapText="1"/>
    </xf>
    <xf numFmtId="0" fontId="4" fillId="10" borderId="7" xfId="0" applyFont="1" applyFill="1" applyBorder="1" applyAlignment="1">
      <alignment vertical="top" wrapText="1"/>
    </xf>
    <xf numFmtId="0" fontId="4" fillId="10" borderId="9" xfId="0" applyFont="1" applyFill="1" applyBorder="1" applyAlignment="1">
      <alignment vertical="top" wrapText="1"/>
    </xf>
    <xf numFmtId="0" fontId="4" fillId="10" borderId="8" xfId="0" applyFont="1" applyFill="1" applyBorder="1" applyAlignment="1">
      <alignment vertical="top" wrapText="1"/>
    </xf>
    <xf numFmtId="0" fontId="18" fillId="11" borderId="0" xfId="0" applyFont="1" applyFill="1"/>
    <xf numFmtId="0" fontId="11" fillId="11" borderId="6" xfId="0" applyFont="1" applyFill="1" applyBorder="1" applyAlignment="1">
      <alignment vertical="top" wrapText="1"/>
    </xf>
    <xf numFmtId="0" fontId="4" fillId="11" borderId="6" xfId="0" applyFont="1" applyFill="1" applyBorder="1" applyAlignment="1">
      <alignment vertical="top" wrapText="1"/>
    </xf>
    <xf numFmtId="9" fontId="4" fillId="11" borderId="6" xfId="0" applyNumberFormat="1" applyFont="1" applyFill="1" applyBorder="1" applyAlignment="1">
      <alignment vertical="top" wrapText="1"/>
    </xf>
    <xf numFmtId="0" fontId="4" fillId="11" borderId="7" xfId="0" applyFont="1" applyFill="1" applyBorder="1" applyAlignment="1">
      <alignment vertical="top" wrapText="1"/>
    </xf>
    <xf numFmtId="0" fontId="4" fillId="11" borderId="9" xfId="0" applyFont="1" applyFill="1" applyBorder="1" applyAlignment="1">
      <alignment vertical="top" wrapText="1"/>
    </xf>
    <xf numFmtId="0" fontId="4" fillId="11" borderId="8" xfId="0" applyFont="1" applyFill="1" applyBorder="1" applyAlignment="1">
      <alignment vertical="top" wrapText="1"/>
    </xf>
    <xf numFmtId="0" fontId="14" fillId="12" borderId="6" xfId="0" applyFont="1" applyFill="1" applyBorder="1" applyAlignment="1">
      <alignment vertical="top" wrapText="1"/>
    </xf>
    <xf numFmtId="0" fontId="9" fillId="12" borderId="6" xfId="0" applyFont="1" applyFill="1" applyBorder="1" applyAlignment="1">
      <alignment vertical="top" wrapText="1"/>
    </xf>
    <xf numFmtId="0" fontId="4" fillId="12" borderId="6" xfId="0" applyFont="1" applyFill="1" applyBorder="1" applyAlignment="1">
      <alignment vertical="top" wrapText="1"/>
    </xf>
    <xf numFmtId="9" fontId="9" fillId="12" borderId="6" xfId="0" applyNumberFormat="1" applyFont="1" applyFill="1" applyBorder="1" applyAlignment="1">
      <alignment vertical="top" wrapText="1"/>
    </xf>
    <xf numFmtId="0" fontId="4" fillId="12" borderId="7" xfId="0" applyFont="1" applyFill="1" applyBorder="1" applyAlignment="1">
      <alignment vertical="top" wrapText="1"/>
    </xf>
    <xf numFmtId="0" fontId="4" fillId="12" borderId="9" xfId="0" applyFont="1" applyFill="1" applyBorder="1" applyAlignment="1">
      <alignment vertical="top" wrapText="1"/>
    </xf>
    <xf numFmtId="0" fontId="4" fillId="12" borderId="8" xfId="0" applyFont="1" applyFill="1" applyBorder="1" applyAlignment="1">
      <alignment vertical="top" wrapText="1"/>
    </xf>
    <xf numFmtId="0" fontId="18" fillId="13" borderId="0" xfId="0" applyFont="1" applyFill="1"/>
    <xf numFmtId="0" fontId="14" fillId="13" borderId="6" xfId="0" applyFont="1" applyFill="1" applyBorder="1" applyAlignment="1">
      <alignment vertical="top" wrapText="1"/>
    </xf>
    <xf numFmtId="0" fontId="9" fillId="13" borderId="6" xfId="0" applyFont="1" applyFill="1" applyBorder="1" applyAlignment="1">
      <alignment vertical="top" wrapText="1"/>
    </xf>
    <xf numFmtId="0" fontId="4" fillId="13" borderId="6" xfId="0" applyFont="1" applyFill="1" applyBorder="1" applyAlignment="1">
      <alignment vertical="top" wrapText="1"/>
    </xf>
    <xf numFmtId="0" fontId="4" fillId="13" borderId="7" xfId="0" applyFont="1" applyFill="1" applyBorder="1" applyAlignment="1">
      <alignment vertical="top" wrapText="1"/>
    </xf>
    <xf numFmtId="0" fontId="4" fillId="13" borderId="9" xfId="0" applyFont="1" applyFill="1" applyBorder="1" applyAlignment="1">
      <alignment vertical="top" wrapText="1"/>
    </xf>
    <xf numFmtId="0" fontId="4" fillId="13" borderId="8" xfId="0" applyFont="1" applyFill="1" applyBorder="1" applyAlignment="1">
      <alignment vertical="top" wrapText="1"/>
    </xf>
    <xf numFmtId="0" fontId="4" fillId="6" borderId="28" xfId="0" applyFont="1" applyFill="1" applyBorder="1" applyAlignment="1">
      <alignment vertical="top" wrapText="1"/>
    </xf>
    <xf numFmtId="0" fontId="4" fillId="0" borderId="25" xfId="0" applyFont="1" applyBorder="1" applyAlignment="1">
      <alignment vertical="top" wrapText="1"/>
    </xf>
    <xf numFmtId="9" fontId="4" fillId="0" borderId="19" xfId="0" applyNumberFormat="1" applyFont="1" applyBorder="1" applyAlignment="1">
      <alignment vertical="top" wrapText="1"/>
    </xf>
    <xf numFmtId="0" fontId="4" fillId="0" borderId="29" xfId="0" applyFont="1" applyBorder="1" applyAlignment="1">
      <alignment vertical="top" wrapText="1"/>
    </xf>
    <xf numFmtId="0" fontId="11" fillId="0" borderId="29" xfId="0" applyFont="1" applyBorder="1" applyAlignment="1">
      <alignment vertical="top" wrapText="1"/>
    </xf>
    <xf numFmtId="0" fontId="4" fillId="0" borderId="29" xfId="0" applyFont="1" applyBorder="1" applyAlignment="1">
      <alignment horizontal="left" vertical="top" wrapText="1" indent="2"/>
    </xf>
    <xf numFmtId="0" fontId="4" fillId="0" borderId="30" xfId="0" applyFont="1" applyBorder="1" applyAlignment="1">
      <alignment vertical="top" wrapText="1"/>
    </xf>
    <xf numFmtId="0" fontId="11" fillId="14" borderId="6" xfId="0" applyFont="1" applyFill="1" applyBorder="1" applyAlignment="1">
      <alignment vertical="top" wrapText="1"/>
    </xf>
    <xf numFmtId="0" fontId="4" fillId="14" borderId="6" xfId="0" applyFont="1" applyFill="1" applyBorder="1" applyAlignment="1">
      <alignment vertical="top" wrapText="1"/>
    </xf>
    <xf numFmtId="0" fontId="4" fillId="14" borderId="7" xfId="0" applyFont="1" applyFill="1" applyBorder="1" applyAlignment="1">
      <alignment vertical="top" wrapText="1"/>
    </xf>
    <xf numFmtId="0" fontId="4" fillId="14" borderId="9" xfId="0" applyFont="1" applyFill="1" applyBorder="1" applyAlignment="1">
      <alignment vertical="top" wrapText="1"/>
    </xf>
    <xf numFmtId="0" fontId="4" fillId="14" borderId="8" xfId="0" applyFont="1" applyFill="1" applyBorder="1" applyAlignment="1">
      <alignment vertical="top" wrapText="1"/>
    </xf>
    <xf numFmtId="0" fontId="21" fillId="14" borderId="0" xfId="0" applyFont="1" applyFill="1"/>
    <xf numFmtId="0" fontId="21" fillId="12" borderId="0" xfId="0" applyFont="1" applyFill="1"/>
    <xf numFmtId="0" fontId="22" fillId="0" borderId="0" xfId="0" applyFont="1" applyAlignment="1">
      <alignment vertical="center"/>
    </xf>
    <xf numFmtId="0" fontId="23" fillId="0" borderId="0" xfId="0" applyFont="1"/>
    <xf numFmtId="0" fontId="2" fillId="0" borderId="0" xfId="2" applyProtection="1"/>
    <xf numFmtId="0" fontId="25" fillId="0" borderId="0" xfId="0" applyFont="1" applyAlignment="1">
      <alignment horizontal="justify" vertical="center"/>
    </xf>
    <xf numFmtId="9" fontId="4" fillId="0" borderId="6" xfId="0" quotePrefix="1" applyNumberFormat="1" applyFont="1" applyBorder="1" applyAlignment="1">
      <alignment vertical="top" wrapText="1"/>
    </xf>
    <xf numFmtId="0" fontId="4" fillId="0" borderId="8" xfId="0" quotePrefix="1" applyFont="1" applyBorder="1" applyAlignment="1">
      <alignment vertical="top" wrapText="1"/>
    </xf>
    <xf numFmtId="0" fontId="4" fillId="0" borderId="6" xfId="0" quotePrefix="1" applyFont="1" applyBorder="1" applyAlignment="1">
      <alignment vertical="top" wrapText="1"/>
    </xf>
    <xf numFmtId="0" fontId="6" fillId="3" borderId="6" xfId="0" quotePrefix="1" applyFont="1" applyFill="1" applyBorder="1" applyAlignment="1">
      <alignment vertical="top" wrapText="1"/>
    </xf>
    <xf numFmtId="0" fontId="20" fillId="0" borderId="27" xfId="0" applyFont="1" applyBorder="1" applyAlignment="1">
      <alignment vertical="top" wrapText="1"/>
    </xf>
    <xf numFmtId="0" fontId="20" fillId="0" borderId="19" xfId="0" applyFont="1" applyBorder="1" applyAlignment="1">
      <alignment vertical="top" wrapText="1"/>
    </xf>
    <xf numFmtId="165" fontId="4" fillId="0" borderId="6" xfId="0" applyNumberFormat="1" applyFont="1" applyBorder="1" applyAlignment="1">
      <alignment vertical="top" wrapText="1"/>
    </xf>
    <xf numFmtId="0" fontId="4" fillId="6" borderId="6" xfId="0" applyFont="1" applyFill="1" applyBorder="1" applyAlignment="1">
      <alignment vertical="top" wrapText="1"/>
    </xf>
    <xf numFmtId="0" fontId="27" fillId="15" borderId="6" xfId="3" applyFont="1" applyFill="1" applyBorder="1" applyAlignment="1">
      <alignment vertical="top" wrapText="1"/>
    </xf>
    <xf numFmtId="0" fontId="28" fillId="15" borderId="6" xfId="3" applyFont="1" applyFill="1" applyBorder="1" applyAlignment="1">
      <alignment vertical="top" wrapText="1"/>
    </xf>
    <xf numFmtId="0" fontId="29" fillId="16" borderId="28" xfId="3" applyFont="1" applyFill="1" applyBorder="1" applyAlignment="1">
      <alignment horizontal="left" vertical="top" textRotation="45" wrapText="1"/>
    </xf>
    <xf numFmtId="0" fontId="27" fillId="15" borderId="8" xfId="3" applyFont="1" applyFill="1" applyBorder="1" applyAlignment="1">
      <alignment vertical="top" wrapText="1"/>
    </xf>
    <xf numFmtId="0" fontId="29" fillId="16" borderId="0" xfId="3" applyFont="1" applyFill="1" applyAlignment="1">
      <alignment vertical="top" wrapText="1"/>
    </xf>
    <xf numFmtId="0" fontId="26" fillId="0" borderId="0" xfId="3"/>
    <xf numFmtId="0" fontId="30" fillId="17" borderId="0" xfId="3" applyFont="1" applyFill="1"/>
    <xf numFmtId="0" fontId="28" fillId="17" borderId="6" xfId="3" applyFont="1" applyFill="1" applyBorder="1" applyAlignment="1">
      <alignment vertical="top" wrapText="1"/>
    </xf>
    <xf numFmtId="0" fontId="27" fillId="17" borderId="6" xfId="3" applyFont="1" applyFill="1" applyBorder="1" applyAlignment="1">
      <alignment vertical="top" wrapText="1"/>
    </xf>
    <xf numFmtId="0" fontId="27" fillId="17" borderId="7" xfId="3" applyFont="1" applyFill="1" applyBorder="1" applyAlignment="1">
      <alignment vertical="top" wrapText="1"/>
    </xf>
    <xf numFmtId="0" fontId="29" fillId="17" borderId="9" xfId="3" applyFont="1" applyFill="1" applyBorder="1" applyAlignment="1">
      <alignment horizontal="left" vertical="top" textRotation="45" wrapText="1"/>
    </xf>
    <xf numFmtId="0" fontId="27" fillId="17" borderId="8" xfId="3" applyFont="1" applyFill="1" applyBorder="1" applyAlignment="1">
      <alignment vertical="top" wrapText="1"/>
    </xf>
    <xf numFmtId="0" fontId="29" fillId="0" borderId="6" xfId="3" applyFont="1" applyBorder="1" applyAlignment="1">
      <alignment vertical="top" wrapText="1"/>
    </xf>
    <xf numFmtId="0" fontId="31" fillId="0" borderId="6" xfId="3" applyFont="1" applyBorder="1" applyAlignment="1">
      <alignment vertical="top" wrapText="1"/>
    </xf>
    <xf numFmtId="0" fontId="29" fillId="18" borderId="6" xfId="3" applyFont="1" applyFill="1" applyBorder="1" applyAlignment="1">
      <alignment vertical="top" wrapText="1"/>
    </xf>
    <xf numFmtId="9" fontId="29" fillId="18" borderId="6" xfId="3" applyNumberFormat="1" applyFont="1" applyFill="1" applyBorder="1" applyAlignment="1">
      <alignment vertical="top" wrapText="1"/>
    </xf>
    <xf numFmtId="49" fontId="29" fillId="18" borderId="6" xfId="3" applyNumberFormat="1" applyFont="1" applyFill="1" applyBorder="1" applyAlignment="1">
      <alignment vertical="top" wrapText="1"/>
    </xf>
    <xf numFmtId="166" fontId="29" fillId="18" borderId="6" xfId="3" applyNumberFormat="1" applyFont="1" applyFill="1" applyBorder="1" applyAlignment="1">
      <alignment vertical="top" wrapText="1"/>
    </xf>
    <xf numFmtId="0" fontId="29" fillId="16" borderId="28" xfId="3" applyFont="1" applyFill="1" applyBorder="1" applyAlignment="1">
      <alignment vertical="top" wrapText="1"/>
    </xf>
    <xf numFmtId="0" fontId="29" fillId="18" borderId="8" xfId="3" applyFont="1" applyFill="1" applyBorder="1" applyAlignment="1">
      <alignment vertical="top" wrapText="1"/>
    </xf>
    <xf numFmtId="0" fontId="29" fillId="0" borderId="6" xfId="3" applyFont="1" applyBorder="1" applyAlignment="1">
      <alignment horizontal="left" vertical="top" wrapText="1"/>
    </xf>
    <xf numFmtId="9" fontId="29" fillId="0" borderId="6" xfId="3" applyNumberFormat="1" applyFont="1" applyBorder="1" applyAlignment="1">
      <alignment vertical="top" wrapText="1"/>
    </xf>
    <xf numFmtId="49" fontId="29" fillId="0" borderId="6" xfId="3" applyNumberFormat="1" applyFont="1" applyBorder="1" applyAlignment="1">
      <alignment vertical="top" wrapText="1"/>
    </xf>
    <xf numFmtId="166" fontId="29" fillId="0" borderId="6" xfId="3" applyNumberFormat="1" applyFont="1" applyBorder="1" applyAlignment="1">
      <alignment vertical="top" wrapText="1"/>
    </xf>
    <xf numFmtId="9" fontId="29" fillId="16" borderId="28" xfId="3" applyNumberFormat="1" applyFont="1" applyFill="1" applyBorder="1" applyAlignment="1">
      <alignment vertical="top" wrapText="1"/>
    </xf>
    <xf numFmtId="9" fontId="29" fillId="0" borderId="8" xfId="3" applyNumberFormat="1" applyFont="1" applyBorder="1" applyAlignment="1">
      <alignment vertical="top" wrapText="1"/>
    </xf>
    <xf numFmtId="0" fontId="29" fillId="0" borderId="8" xfId="3" applyFont="1" applyBorder="1" applyAlignment="1">
      <alignment vertical="top" wrapText="1"/>
    </xf>
    <xf numFmtId="0" fontId="33" fillId="0" borderId="6" xfId="3" applyFont="1" applyBorder="1" applyAlignment="1">
      <alignment vertical="top" wrapText="1"/>
    </xf>
    <xf numFmtId="166" fontId="34" fillId="16" borderId="0" xfId="3" applyNumberFormat="1" applyFont="1" applyFill="1"/>
    <xf numFmtId="0" fontId="35" fillId="16" borderId="0" xfId="3" applyFont="1" applyFill="1"/>
    <xf numFmtId="0" fontId="29" fillId="16" borderId="6" xfId="3" applyFont="1" applyFill="1" applyBorder="1" applyAlignment="1">
      <alignment vertical="top" wrapText="1"/>
    </xf>
    <xf numFmtId="9" fontId="29" fillId="18" borderId="8" xfId="3" applyNumberFormat="1" applyFont="1" applyFill="1" applyBorder="1" applyAlignment="1">
      <alignment vertical="top" wrapText="1"/>
    </xf>
    <xf numFmtId="0" fontId="29" fillId="16" borderId="0" xfId="3" applyFont="1" applyFill="1" applyAlignment="1">
      <alignment horizontal="left" vertical="top" wrapText="1"/>
    </xf>
    <xf numFmtId="0" fontId="26" fillId="0" borderId="6" xfId="3" applyBorder="1"/>
    <xf numFmtId="49" fontId="29" fillId="16" borderId="6" xfId="3" applyNumberFormat="1" applyFont="1" applyFill="1" applyBorder="1" applyAlignment="1">
      <alignment vertical="top" wrapText="1"/>
    </xf>
    <xf numFmtId="166" fontId="29" fillId="16" borderId="6" xfId="3" applyNumberFormat="1" applyFont="1" applyFill="1" applyBorder="1" applyAlignment="1">
      <alignment vertical="top" wrapText="1"/>
    </xf>
    <xf numFmtId="0" fontId="29" fillId="16" borderId="8" xfId="3" applyFont="1" applyFill="1" applyBorder="1" applyAlignment="1">
      <alignment vertical="top" wrapText="1"/>
    </xf>
    <xf numFmtId="9" fontId="29" fillId="16" borderId="6" xfId="3" applyNumberFormat="1" applyFont="1" applyFill="1" applyBorder="1" applyAlignment="1">
      <alignment vertical="top" wrapText="1"/>
    </xf>
    <xf numFmtId="9" fontId="29" fillId="16" borderId="8" xfId="3" applyNumberFormat="1" applyFont="1" applyFill="1" applyBorder="1" applyAlignment="1">
      <alignment vertical="top" wrapText="1"/>
    </xf>
    <xf numFmtId="166" fontId="29" fillId="0" borderId="0" xfId="3" applyNumberFormat="1" applyFont="1" applyAlignment="1">
      <alignment vertical="top" wrapText="1"/>
    </xf>
    <xf numFmtId="0" fontId="36" fillId="16" borderId="0" xfId="3" applyFont="1" applyFill="1" applyAlignment="1">
      <alignment wrapText="1"/>
    </xf>
    <xf numFmtId="166" fontId="36" fillId="16" borderId="6" xfId="3" applyNumberFormat="1" applyFont="1" applyFill="1" applyBorder="1" applyAlignment="1">
      <alignment wrapText="1"/>
    </xf>
    <xf numFmtId="0" fontId="36" fillId="16" borderId="6" xfId="3" applyFont="1" applyFill="1" applyBorder="1" applyAlignment="1">
      <alignment wrapText="1"/>
    </xf>
    <xf numFmtId="166" fontId="36" fillId="16" borderId="0" xfId="3" applyNumberFormat="1" applyFont="1" applyFill="1" applyAlignment="1">
      <alignment wrapText="1"/>
    </xf>
    <xf numFmtId="0" fontId="38" fillId="16" borderId="0" xfId="3" applyFont="1" applyFill="1"/>
    <xf numFmtId="0" fontId="29" fillId="0" borderId="20" xfId="3" applyFont="1" applyBorder="1" applyAlignment="1">
      <alignment vertical="top" wrapText="1"/>
    </xf>
    <xf numFmtId="0" fontId="31" fillId="0" borderId="20" xfId="3" applyFont="1" applyBorder="1" applyAlignment="1">
      <alignment vertical="top" wrapText="1"/>
    </xf>
    <xf numFmtId="0" fontId="29" fillId="0" borderId="20" xfId="3" applyFont="1" applyBorder="1" applyAlignment="1">
      <alignment horizontal="left" vertical="top" wrapText="1"/>
    </xf>
    <xf numFmtId="9" fontId="29" fillId="0" borderId="20" xfId="3" applyNumberFormat="1" applyFont="1" applyBorder="1" applyAlignment="1">
      <alignment vertical="top" wrapText="1"/>
    </xf>
    <xf numFmtId="166" fontId="29" fillId="0" borderId="20" xfId="3" applyNumberFormat="1" applyFont="1" applyBorder="1" applyAlignment="1">
      <alignment vertical="top" wrapText="1"/>
    </xf>
    <xf numFmtId="0" fontId="29" fillId="0" borderId="22" xfId="3" applyFont="1" applyBorder="1" applyAlignment="1">
      <alignment vertical="top" wrapText="1"/>
    </xf>
    <xf numFmtId="166" fontId="29" fillId="0" borderId="7" xfId="3" applyNumberFormat="1" applyFont="1" applyBorder="1" applyAlignment="1">
      <alignment vertical="top" wrapText="1"/>
    </xf>
    <xf numFmtId="0" fontId="29" fillId="0" borderId="23" xfId="3" applyFont="1" applyBorder="1" applyAlignment="1">
      <alignment vertical="top" wrapText="1"/>
    </xf>
    <xf numFmtId="0" fontId="31" fillId="0" borderId="23" xfId="3" applyFont="1" applyBorder="1" applyAlignment="1">
      <alignment vertical="top" wrapText="1"/>
    </xf>
    <xf numFmtId="9" fontId="29" fillId="0" borderId="23" xfId="3" applyNumberFormat="1" applyFont="1" applyBorder="1" applyAlignment="1">
      <alignment vertical="top" wrapText="1"/>
    </xf>
    <xf numFmtId="166" fontId="29" fillId="0" borderId="23" xfId="3" applyNumberFormat="1" applyFont="1" applyBorder="1" applyAlignment="1">
      <alignment vertical="top" wrapText="1"/>
    </xf>
    <xf numFmtId="9" fontId="29" fillId="0" borderId="25" xfId="3" applyNumberFormat="1" applyFont="1" applyBorder="1" applyAlignment="1">
      <alignment vertical="top" wrapText="1"/>
    </xf>
    <xf numFmtId="166" fontId="26" fillId="0" borderId="0" xfId="3" applyNumberFormat="1" applyAlignment="1">
      <alignment vertical="top" wrapText="1"/>
    </xf>
    <xf numFmtId="0" fontId="43" fillId="19" borderId="0" xfId="3" applyFont="1" applyFill="1"/>
    <xf numFmtId="0" fontId="44" fillId="16" borderId="0" xfId="3" applyFont="1" applyFill="1" applyAlignment="1">
      <alignment horizontal="left"/>
    </xf>
    <xf numFmtId="0" fontId="44" fillId="16" borderId="6" xfId="3" applyFont="1" applyFill="1" applyBorder="1" applyAlignment="1">
      <alignment horizontal="left"/>
    </xf>
    <xf numFmtId="0" fontId="29" fillId="16" borderId="0" xfId="3" applyFont="1" applyFill="1" applyAlignment="1">
      <alignment wrapText="1"/>
    </xf>
    <xf numFmtId="0" fontId="45" fillId="20" borderId="0" xfId="3" applyFont="1" applyFill="1"/>
    <xf numFmtId="0" fontId="31" fillId="20" borderId="6" xfId="3" applyFont="1" applyFill="1" applyBorder="1" applyAlignment="1">
      <alignment vertical="top" wrapText="1"/>
    </xf>
    <xf numFmtId="0" fontId="29" fillId="20" borderId="6" xfId="3" applyFont="1" applyFill="1" applyBorder="1" applyAlignment="1">
      <alignment vertical="top" wrapText="1"/>
    </xf>
    <xf numFmtId="0" fontId="29" fillId="20" borderId="7" xfId="3" applyFont="1" applyFill="1" applyBorder="1" applyAlignment="1">
      <alignment vertical="top" wrapText="1"/>
    </xf>
    <xf numFmtId="0" fontId="29" fillId="20" borderId="9" xfId="3" applyFont="1" applyFill="1" applyBorder="1" applyAlignment="1">
      <alignment vertical="top" wrapText="1"/>
    </xf>
    <xf numFmtId="0" fontId="29" fillId="20" borderId="8" xfId="3" applyFont="1" applyFill="1" applyBorder="1" applyAlignment="1">
      <alignment vertical="top" wrapText="1"/>
    </xf>
    <xf numFmtId="0" fontId="29" fillId="0" borderId="25" xfId="3" applyFont="1" applyBorder="1" applyAlignment="1">
      <alignment vertical="top" wrapText="1"/>
    </xf>
    <xf numFmtId="0" fontId="31" fillId="18" borderId="6" xfId="3" applyFont="1" applyFill="1" applyBorder="1" applyAlignment="1">
      <alignment vertical="top" wrapText="1"/>
    </xf>
    <xf numFmtId="0" fontId="29" fillId="16" borderId="9" xfId="3" applyFont="1" applyFill="1" applyBorder="1" applyAlignment="1">
      <alignment vertical="top" wrapText="1"/>
    </xf>
    <xf numFmtId="0" fontId="31" fillId="16" borderId="6" xfId="3" applyFont="1" applyFill="1" applyBorder="1" applyAlignment="1">
      <alignment vertical="top" wrapText="1"/>
    </xf>
    <xf numFmtId="0" fontId="45" fillId="21" borderId="0" xfId="3" applyFont="1" applyFill="1"/>
    <xf numFmtId="0" fontId="31" fillId="21" borderId="6" xfId="3" applyFont="1" applyFill="1" applyBorder="1" applyAlignment="1">
      <alignment vertical="top" wrapText="1"/>
    </xf>
    <xf numFmtId="0" fontId="29" fillId="21" borderId="6" xfId="3" applyFont="1" applyFill="1" applyBorder="1" applyAlignment="1">
      <alignment vertical="top" wrapText="1"/>
    </xf>
    <xf numFmtId="0" fontId="29" fillId="21" borderId="7" xfId="3" applyFont="1" applyFill="1" applyBorder="1" applyAlignment="1">
      <alignment vertical="top" wrapText="1"/>
    </xf>
    <xf numFmtId="0" fontId="29" fillId="21" borderId="9" xfId="3" applyFont="1" applyFill="1" applyBorder="1" applyAlignment="1">
      <alignment vertical="top" wrapText="1"/>
    </xf>
    <xf numFmtId="0" fontId="29" fillId="21" borderId="8" xfId="3" applyFont="1" applyFill="1" applyBorder="1" applyAlignment="1">
      <alignment vertical="top" wrapText="1"/>
    </xf>
    <xf numFmtId="0" fontId="29" fillId="0" borderId="0" xfId="3" applyFont="1" applyAlignment="1">
      <alignment vertical="top" wrapText="1"/>
    </xf>
    <xf numFmtId="0" fontId="26" fillId="0" borderId="6" xfId="3" applyBorder="1" applyAlignment="1">
      <alignment vertical="top"/>
    </xf>
    <xf numFmtId="0" fontId="45" fillId="22" borderId="0" xfId="3" applyFont="1" applyFill="1"/>
    <xf numFmtId="0" fontId="31" fillId="22" borderId="6" xfId="3" applyFont="1" applyFill="1" applyBorder="1" applyAlignment="1">
      <alignment vertical="top" wrapText="1"/>
    </xf>
    <xf numFmtId="0" fontId="29" fillId="22" borderId="6" xfId="3" applyFont="1" applyFill="1" applyBorder="1" applyAlignment="1">
      <alignment vertical="top" wrapText="1"/>
    </xf>
    <xf numFmtId="9" fontId="29" fillId="22" borderId="6" xfId="3" applyNumberFormat="1" applyFont="1" applyFill="1" applyBorder="1" applyAlignment="1">
      <alignment vertical="top" wrapText="1"/>
    </xf>
    <xf numFmtId="0" fontId="29" fillId="22" borderId="7" xfId="3" applyFont="1" applyFill="1" applyBorder="1" applyAlignment="1">
      <alignment vertical="top" wrapText="1"/>
    </xf>
    <xf numFmtId="0" fontId="29" fillId="22" borderId="9" xfId="3" applyFont="1" applyFill="1" applyBorder="1" applyAlignment="1">
      <alignment vertical="top" wrapText="1"/>
    </xf>
    <xf numFmtId="0" fontId="29" fillId="22" borderId="8" xfId="3" applyFont="1" applyFill="1" applyBorder="1" applyAlignment="1">
      <alignment vertical="top" wrapText="1"/>
    </xf>
    <xf numFmtId="0" fontId="47" fillId="16" borderId="0" xfId="3" applyFont="1" applyFill="1" applyAlignment="1">
      <alignment horizontal="left" vertical="top" wrapText="1"/>
    </xf>
    <xf numFmtId="167" fontId="29" fillId="0" borderId="6" xfId="3" applyNumberFormat="1" applyFont="1" applyBorder="1" applyAlignment="1">
      <alignment horizontal="left" vertical="top" wrapText="1"/>
    </xf>
    <xf numFmtId="0" fontId="29" fillId="16" borderId="0" xfId="3" applyFont="1" applyFill="1"/>
    <xf numFmtId="0" fontId="35" fillId="16" borderId="6" xfId="3" applyFont="1" applyFill="1" applyBorder="1"/>
    <xf numFmtId="0" fontId="35" fillId="16" borderId="6" xfId="3" applyFont="1" applyFill="1" applyBorder="1" applyAlignment="1">
      <alignment vertical="top" wrapText="1"/>
    </xf>
    <xf numFmtId="0" fontId="45" fillId="23" borderId="0" xfId="3" applyFont="1" applyFill="1"/>
    <xf numFmtId="0" fontId="31" fillId="23" borderId="6" xfId="3" applyFont="1" applyFill="1" applyBorder="1" applyAlignment="1">
      <alignment vertical="top" wrapText="1"/>
    </xf>
    <xf numFmtId="0" fontId="29" fillId="23" borderId="6" xfId="3" applyFont="1" applyFill="1" applyBorder="1" applyAlignment="1">
      <alignment vertical="top" wrapText="1"/>
    </xf>
    <xf numFmtId="9" fontId="29" fillId="23" borderId="6" xfId="3" applyNumberFormat="1" applyFont="1" applyFill="1" applyBorder="1" applyAlignment="1">
      <alignment vertical="top" wrapText="1"/>
    </xf>
    <xf numFmtId="0" fontId="29" fillId="23" borderId="7" xfId="3" applyFont="1" applyFill="1" applyBorder="1" applyAlignment="1">
      <alignment vertical="top" wrapText="1"/>
    </xf>
    <xf numFmtId="0" fontId="29" fillId="23" borderId="9" xfId="3" applyFont="1" applyFill="1" applyBorder="1" applyAlignment="1">
      <alignment vertical="top" wrapText="1"/>
    </xf>
    <xf numFmtId="0" fontId="29" fillId="23" borderId="8" xfId="3" applyFont="1" applyFill="1" applyBorder="1" applyAlignment="1">
      <alignment vertical="top" wrapText="1"/>
    </xf>
    <xf numFmtId="0" fontId="48" fillId="0" borderId="6" xfId="3" applyFont="1" applyBorder="1" applyAlignment="1">
      <alignment vertical="top" wrapText="1"/>
    </xf>
    <xf numFmtId="0" fontId="34" fillId="16" borderId="0" xfId="3" applyFont="1" applyFill="1"/>
    <xf numFmtId="166" fontId="29" fillId="16" borderId="0" xfId="3" applyNumberFormat="1" applyFont="1" applyFill="1" applyAlignment="1">
      <alignment vertical="top" wrapText="1"/>
    </xf>
    <xf numFmtId="166" fontId="29" fillId="16" borderId="0" xfId="3" applyNumberFormat="1" applyFont="1" applyFill="1"/>
    <xf numFmtId="0" fontId="49" fillId="0" borderId="6" xfId="3" applyFont="1" applyBorder="1" applyAlignment="1">
      <alignment vertical="top" wrapText="1"/>
    </xf>
    <xf numFmtId="0" fontId="45" fillId="24" borderId="0" xfId="3" applyFont="1" applyFill="1"/>
    <xf numFmtId="0" fontId="31" fillId="24" borderId="6" xfId="3" applyFont="1" applyFill="1" applyBorder="1" applyAlignment="1">
      <alignment vertical="top" wrapText="1"/>
    </xf>
    <xf numFmtId="0" fontId="29" fillId="24" borderId="6" xfId="3" applyFont="1" applyFill="1" applyBorder="1" applyAlignment="1">
      <alignment vertical="top" wrapText="1"/>
    </xf>
    <xf numFmtId="9" fontId="29" fillId="24" borderId="6" xfId="3" applyNumberFormat="1" applyFont="1" applyFill="1" applyBorder="1" applyAlignment="1">
      <alignment vertical="top" wrapText="1"/>
    </xf>
    <xf numFmtId="0" fontId="29" fillId="24" borderId="7" xfId="3" applyFont="1" applyFill="1" applyBorder="1" applyAlignment="1">
      <alignment vertical="top" wrapText="1"/>
    </xf>
    <xf numFmtId="0" fontId="29" fillId="24" borderId="9" xfId="3" applyFont="1" applyFill="1" applyBorder="1" applyAlignment="1">
      <alignment vertical="top" wrapText="1"/>
    </xf>
    <xf numFmtId="0" fontId="29" fillId="24" borderId="8" xfId="3" applyFont="1" applyFill="1" applyBorder="1" applyAlignment="1">
      <alignment vertical="top" wrapText="1"/>
    </xf>
    <xf numFmtId="0" fontId="29" fillId="16" borderId="6" xfId="3" applyFont="1" applyFill="1" applyBorder="1"/>
    <xf numFmtId="0" fontId="29" fillId="16" borderId="6" xfId="3" applyFont="1" applyFill="1" applyBorder="1" applyAlignment="1">
      <alignment horizontal="left" vertical="top" wrapText="1"/>
    </xf>
    <xf numFmtId="0" fontId="45" fillId="25" borderId="0" xfId="3" applyFont="1" applyFill="1"/>
    <xf numFmtId="0" fontId="31" fillId="25" borderId="6" xfId="3" applyFont="1" applyFill="1" applyBorder="1" applyAlignment="1">
      <alignment vertical="top" wrapText="1"/>
    </xf>
    <xf numFmtId="0" fontId="29" fillId="25" borderId="6" xfId="3" applyFont="1" applyFill="1" applyBorder="1" applyAlignment="1">
      <alignment vertical="top" wrapText="1"/>
    </xf>
    <xf numFmtId="0" fontId="29" fillId="25" borderId="7" xfId="3" applyFont="1" applyFill="1" applyBorder="1" applyAlignment="1">
      <alignment vertical="top" wrapText="1"/>
    </xf>
    <xf numFmtId="0" fontId="29" fillId="25" borderId="9" xfId="3" applyFont="1" applyFill="1" applyBorder="1" applyAlignment="1">
      <alignment vertical="top" wrapText="1"/>
    </xf>
    <xf numFmtId="0" fontId="29" fillId="25" borderId="8" xfId="3" applyFont="1" applyFill="1" applyBorder="1" applyAlignment="1">
      <alignment vertical="top" wrapText="1"/>
    </xf>
    <xf numFmtId="0" fontId="4" fillId="6" borderId="28" xfId="0" applyFont="1" applyFill="1" applyBorder="1" applyAlignment="1">
      <alignment vertical="top" textRotation="45" wrapText="1"/>
    </xf>
    <xf numFmtId="49" fontId="4" fillId="5" borderId="6" xfId="0" applyNumberFormat="1" applyFont="1" applyFill="1" applyBorder="1" applyAlignment="1">
      <alignment vertical="top" wrapText="1"/>
    </xf>
    <xf numFmtId="166" fontId="4" fillId="5" borderId="6" xfId="0" applyNumberFormat="1" applyFont="1" applyFill="1" applyBorder="1" applyAlignment="1">
      <alignment vertical="top" wrapText="1"/>
    </xf>
    <xf numFmtId="49" fontId="4" fillId="0" borderId="6" xfId="0" quotePrefix="1" applyNumberFormat="1" applyFont="1" applyBorder="1" applyAlignment="1">
      <alignment vertical="top" wrapText="1"/>
    </xf>
    <xf numFmtId="166" fontId="4" fillId="0" borderId="6" xfId="0" applyNumberFormat="1" applyFont="1" applyBorder="1" applyAlignment="1">
      <alignment vertical="top" wrapText="1"/>
    </xf>
    <xf numFmtId="9" fontId="4" fillId="6" borderId="28" xfId="0" applyNumberFormat="1" applyFont="1" applyFill="1" applyBorder="1" applyAlignment="1">
      <alignment vertical="top" wrapText="1"/>
    </xf>
    <xf numFmtId="49" fontId="4" fillId="0" borderId="6" xfId="0" applyNumberFormat="1" applyFont="1" applyBorder="1" applyAlignment="1">
      <alignment vertical="top" wrapText="1"/>
    </xf>
    <xf numFmtId="49" fontId="6" fillId="0" borderId="6" xfId="0" applyNumberFormat="1" applyFont="1" applyBorder="1" applyAlignment="1">
      <alignment vertical="top" wrapText="1"/>
    </xf>
    <xf numFmtId="166" fontId="6" fillId="0" borderId="6" xfId="0" applyNumberFormat="1" applyFont="1" applyBorder="1" applyAlignment="1">
      <alignment vertical="top" wrapText="1"/>
    </xf>
    <xf numFmtId="0" fontId="6" fillId="6" borderId="28" xfId="0" applyFont="1" applyFill="1" applyBorder="1" applyAlignment="1">
      <alignment vertical="top" wrapText="1"/>
    </xf>
    <xf numFmtId="49" fontId="6" fillId="3" borderId="6" xfId="0" applyNumberFormat="1" applyFont="1" applyFill="1" applyBorder="1" applyAlignment="1">
      <alignment vertical="top" wrapText="1"/>
    </xf>
    <xf numFmtId="166" fontId="6" fillId="3" borderId="6" xfId="0" applyNumberFormat="1" applyFont="1" applyFill="1" applyBorder="1" applyAlignment="1">
      <alignment vertical="top" wrapText="1"/>
    </xf>
    <xf numFmtId="49" fontId="4" fillId="3" borderId="6" xfId="0" applyNumberFormat="1" applyFont="1" applyFill="1" applyBorder="1" applyAlignment="1">
      <alignment vertical="top" wrapText="1"/>
    </xf>
    <xf numFmtId="166" fontId="4" fillId="3" borderId="6" xfId="0" applyNumberFormat="1" applyFont="1" applyFill="1" applyBorder="1" applyAlignment="1">
      <alignment vertical="top" wrapText="1"/>
    </xf>
    <xf numFmtId="9" fontId="6" fillId="6" borderId="28" xfId="0" applyNumberFormat="1" applyFont="1" applyFill="1" applyBorder="1" applyAlignment="1">
      <alignment vertical="top" wrapText="1"/>
    </xf>
    <xf numFmtId="9" fontId="4" fillId="0" borderId="6" xfId="1" applyFont="1" applyBorder="1" applyAlignment="1" applyProtection="1">
      <alignment vertical="top" wrapText="1"/>
    </xf>
    <xf numFmtId="9" fontId="4" fillId="0" borderId="20" xfId="1" applyFont="1" applyBorder="1" applyAlignment="1" applyProtection="1">
      <alignment vertical="top" wrapText="1"/>
    </xf>
    <xf numFmtId="49" fontId="4" fillId="0" borderId="20" xfId="0" applyNumberFormat="1" applyFont="1" applyBorder="1" applyAlignment="1">
      <alignment vertical="top" wrapText="1"/>
    </xf>
    <xf numFmtId="166" fontId="4" fillId="0" borderId="20" xfId="0" applyNumberFormat="1" applyFont="1" applyBorder="1" applyAlignment="1">
      <alignment vertical="top" wrapText="1"/>
    </xf>
    <xf numFmtId="49" fontId="4" fillId="0" borderId="19" xfId="0" applyNumberFormat="1" applyFont="1" applyBorder="1" applyAlignment="1">
      <alignment vertical="top" wrapText="1"/>
    </xf>
    <xf numFmtId="166" fontId="4" fillId="0" borderId="26" xfId="0" applyNumberFormat="1" applyFont="1" applyBorder="1" applyAlignment="1">
      <alignment vertical="top" wrapText="1"/>
    </xf>
    <xf numFmtId="0" fontId="4" fillId="0" borderId="31" xfId="0" applyFont="1" applyBorder="1" applyAlignment="1">
      <alignment vertical="top" wrapText="1"/>
    </xf>
    <xf numFmtId="49" fontId="4" fillId="0" borderId="23" xfId="0" applyNumberFormat="1" applyFont="1" applyBorder="1" applyAlignment="1">
      <alignment vertical="top" wrapText="1"/>
    </xf>
    <xf numFmtId="166" fontId="4" fillId="0" borderId="23" xfId="0" applyNumberFormat="1" applyFont="1" applyBorder="1" applyAlignment="1">
      <alignment vertical="top" wrapText="1"/>
    </xf>
    <xf numFmtId="49" fontId="4" fillId="0" borderId="29" xfId="0" applyNumberFormat="1" applyFont="1" applyBorder="1" applyAlignment="1">
      <alignment vertical="top" wrapText="1"/>
    </xf>
    <xf numFmtId="166" fontId="4" fillId="0" borderId="29" xfId="0" applyNumberFormat="1" applyFont="1" applyBorder="1" applyAlignment="1">
      <alignment vertical="top" wrapText="1"/>
    </xf>
    <xf numFmtId="0" fontId="4" fillId="0" borderId="32" xfId="0" applyFont="1" applyBorder="1" applyAlignment="1">
      <alignment vertical="top" wrapText="1"/>
    </xf>
    <xf numFmtId="166" fontId="4" fillId="0" borderId="19" xfId="0" applyNumberFormat="1" applyFont="1" applyBorder="1" applyAlignment="1">
      <alignment vertical="top" wrapText="1"/>
    </xf>
    <xf numFmtId="0" fontId="4" fillId="3" borderId="28" xfId="0" applyFont="1" applyFill="1" applyBorder="1" applyAlignment="1">
      <alignment vertical="top" wrapText="1"/>
    </xf>
    <xf numFmtId="0" fontId="51" fillId="0" borderId="14" xfId="0" applyFont="1" applyBorder="1" applyAlignment="1">
      <alignment wrapText="1"/>
    </xf>
    <xf numFmtId="0" fontId="50" fillId="0" borderId="15" xfId="0" applyFont="1" applyBorder="1" applyAlignment="1">
      <alignment wrapText="1"/>
    </xf>
    <xf numFmtId="0" fontId="50" fillId="0" borderId="15" xfId="0" applyFont="1" applyBorder="1"/>
    <xf numFmtId="0" fontId="50" fillId="0" borderId="16" xfId="0" applyFont="1" applyBorder="1" applyAlignment="1">
      <alignment wrapText="1"/>
    </xf>
    <xf numFmtId="0" fontId="29" fillId="0" borderId="11" xfId="0" applyFont="1" applyBorder="1" applyAlignment="1">
      <alignment wrapText="1"/>
    </xf>
    <xf numFmtId="0" fontId="29" fillId="0" borderId="0" xfId="0" applyFont="1" applyAlignment="1">
      <alignment wrapText="1"/>
    </xf>
    <xf numFmtId="0" fontId="29" fillId="0" borderId="12" xfId="0" applyFont="1" applyBorder="1" applyAlignment="1">
      <alignment wrapText="1"/>
    </xf>
    <xf numFmtId="0" fontId="29" fillId="0" borderId="3" xfId="0" applyFont="1" applyBorder="1" applyAlignment="1">
      <alignment wrapText="1"/>
    </xf>
    <xf numFmtId="0" fontId="4" fillId="6" borderId="6" xfId="0" applyFont="1" applyFill="1" applyBorder="1" applyAlignment="1">
      <alignment horizontal="center" vertical="top" wrapText="1"/>
    </xf>
    <xf numFmtId="0" fontId="52" fillId="0" borderId="6" xfId="0" applyFont="1" applyBorder="1" applyAlignment="1">
      <alignment vertical="top" wrapText="1"/>
    </xf>
    <xf numFmtId="0" fontId="52" fillId="5" borderId="6" xfId="0" applyFont="1" applyFill="1" applyBorder="1" applyAlignment="1">
      <alignment vertical="top" wrapText="1"/>
    </xf>
    <xf numFmtId="9" fontId="52" fillId="5" borderId="6" xfId="0" applyNumberFormat="1" applyFont="1" applyFill="1" applyBorder="1" applyAlignment="1">
      <alignment vertical="top" wrapText="1"/>
    </xf>
    <xf numFmtId="49" fontId="52" fillId="5" borderId="6" xfId="0" applyNumberFormat="1" applyFont="1" applyFill="1" applyBorder="1" applyAlignment="1">
      <alignment vertical="top" wrapText="1"/>
    </xf>
    <xf numFmtId="166" fontId="52" fillId="5" borderId="6" xfId="0" applyNumberFormat="1" applyFont="1" applyFill="1" applyBorder="1" applyAlignment="1">
      <alignment vertical="top" wrapText="1"/>
    </xf>
    <xf numFmtId="9" fontId="52" fillId="6" borderId="28" xfId="0" applyNumberFormat="1" applyFont="1" applyFill="1" applyBorder="1" applyAlignment="1">
      <alignment vertical="top" wrapText="1"/>
    </xf>
    <xf numFmtId="9" fontId="52" fillId="5" borderId="8" xfId="0" applyNumberFormat="1" applyFont="1" applyFill="1" applyBorder="1" applyAlignment="1">
      <alignment vertical="top" wrapText="1"/>
    </xf>
    <xf numFmtId="0" fontId="52" fillId="0" borderId="19" xfId="0" applyFont="1" applyBorder="1" applyAlignment="1">
      <alignment vertical="top" wrapText="1"/>
    </xf>
    <xf numFmtId="0" fontId="54" fillId="26" borderId="6" xfId="4" applyFont="1" applyFill="1" applyBorder="1" applyAlignment="1">
      <alignment vertical="top" wrapText="1"/>
    </xf>
    <xf numFmtId="0" fontId="55" fillId="26" borderId="6" xfId="4" applyFont="1" applyFill="1" applyBorder="1" applyAlignment="1">
      <alignment vertical="top" wrapText="1"/>
    </xf>
    <xf numFmtId="0" fontId="56" fillId="16" borderId="28" xfId="4" applyFont="1" applyFill="1" applyBorder="1" applyAlignment="1">
      <alignment horizontal="left" vertical="top" textRotation="45" wrapText="1"/>
    </xf>
    <xf numFmtId="0" fontId="54" fillId="26" borderId="8" xfId="4" applyFont="1" applyFill="1" applyBorder="1" applyAlignment="1">
      <alignment vertical="top" wrapText="1"/>
    </xf>
    <xf numFmtId="0" fontId="56" fillId="16" borderId="0" xfId="4" applyFont="1" applyFill="1" applyAlignment="1">
      <alignment vertical="top" wrapText="1"/>
    </xf>
    <xf numFmtId="0" fontId="18" fillId="17" borderId="0" xfId="4" applyFont="1" applyFill="1"/>
    <xf numFmtId="0" fontId="55" fillId="17" borderId="6" xfId="4" applyFont="1" applyFill="1" applyBorder="1" applyAlignment="1">
      <alignment vertical="top" wrapText="1"/>
    </xf>
    <xf numFmtId="0" fontId="54" fillId="17" borderId="6" xfId="4" applyFont="1" applyFill="1" applyBorder="1" applyAlignment="1">
      <alignment vertical="top" wrapText="1"/>
    </xf>
    <xf numFmtId="0" fontId="54" fillId="17" borderId="7" xfId="4" applyFont="1" applyFill="1" applyBorder="1" applyAlignment="1">
      <alignment vertical="top" wrapText="1"/>
    </xf>
    <xf numFmtId="0" fontId="56" fillId="17" borderId="9" xfId="4" applyFont="1" applyFill="1" applyBorder="1" applyAlignment="1">
      <alignment horizontal="left" vertical="top" textRotation="45" wrapText="1"/>
    </xf>
    <xf numFmtId="0" fontId="54" fillId="17" borderId="8" xfId="4" applyFont="1" applyFill="1" applyBorder="1" applyAlignment="1">
      <alignment vertical="top" wrapText="1"/>
    </xf>
    <xf numFmtId="0" fontId="56" fillId="0" borderId="6" xfId="4" applyFont="1" applyBorder="1" applyAlignment="1">
      <alignment vertical="top" wrapText="1"/>
    </xf>
    <xf numFmtId="0" fontId="57" fillId="0" borderId="6" xfId="4" applyFont="1" applyBorder="1" applyAlignment="1">
      <alignment vertical="top" wrapText="1"/>
    </xf>
    <xf numFmtId="0" fontId="56" fillId="27" borderId="6" xfId="4" applyFont="1" applyFill="1" applyBorder="1" applyAlignment="1">
      <alignment vertical="top" wrapText="1"/>
    </xf>
    <xf numFmtId="9" fontId="56" fillId="27" borderId="6" xfId="4" applyNumberFormat="1" applyFont="1" applyFill="1" applyBorder="1" applyAlignment="1">
      <alignment vertical="top" wrapText="1"/>
    </xf>
    <xf numFmtId="49" fontId="56" fillId="27" borderId="6" xfId="4" applyNumberFormat="1" applyFont="1" applyFill="1" applyBorder="1" applyAlignment="1">
      <alignment vertical="top" wrapText="1"/>
    </xf>
    <xf numFmtId="166" fontId="56" fillId="27" borderId="6" xfId="4" applyNumberFormat="1" applyFont="1" applyFill="1" applyBorder="1" applyAlignment="1">
      <alignment vertical="top" wrapText="1"/>
    </xf>
    <xf numFmtId="0" fontId="56" fillId="16" borderId="28" xfId="4" applyFont="1" applyFill="1" applyBorder="1" applyAlignment="1">
      <alignment vertical="top" wrapText="1"/>
    </xf>
    <xf numFmtId="0" fontId="56" fillId="27" borderId="8" xfId="4" applyFont="1" applyFill="1" applyBorder="1" applyAlignment="1">
      <alignment vertical="top" wrapText="1"/>
    </xf>
    <xf numFmtId="0" fontId="58" fillId="0" borderId="6" xfId="4" applyFont="1" applyBorder="1" applyAlignment="1">
      <alignment horizontal="left" vertical="top" wrapText="1" indent="3"/>
    </xf>
    <xf numFmtId="9" fontId="56" fillId="0" borderId="6" xfId="4" applyNumberFormat="1" applyFont="1" applyBorder="1" applyAlignment="1">
      <alignment vertical="top" wrapText="1"/>
    </xf>
    <xf numFmtId="49" fontId="56" fillId="0" borderId="6" xfId="4" applyNumberFormat="1" applyFont="1" applyBorder="1" applyAlignment="1">
      <alignment vertical="top" wrapText="1"/>
    </xf>
    <xf numFmtId="166" fontId="56" fillId="0" borderId="6" xfId="4" applyNumberFormat="1" applyFont="1" applyBorder="1" applyAlignment="1">
      <alignment vertical="top" wrapText="1"/>
    </xf>
    <xf numFmtId="9" fontId="56" fillId="16" borderId="28" xfId="4" applyNumberFormat="1" applyFont="1" applyFill="1" applyBorder="1" applyAlignment="1">
      <alignment vertical="top" wrapText="1"/>
    </xf>
    <xf numFmtId="9" fontId="56" fillId="0" borderId="8" xfId="4" applyNumberFormat="1" applyFont="1" applyBorder="1" applyAlignment="1">
      <alignment vertical="top" wrapText="1"/>
    </xf>
    <xf numFmtId="0" fontId="56" fillId="0" borderId="6" xfId="4" applyFont="1" applyBorder="1" applyAlignment="1">
      <alignment horizontal="left" vertical="top" wrapText="1" indent="3"/>
    </xf>
    <xf numFmtId="0" fontId="56" fillId="0" borderId="8" xfId="4" applyFont="1" applyBorder="1" applyAlignment="1">
      <alignment vertical="top" wrapText="1"/>
    </xf>
    <xf numFmtId="0" fontId="59" fillId="0" borderId="6" xfId="4" applyFont="1" applyBorder="1" applyAlignment="1">
      <alignment vertical="top" wrapText="1"/>
    </xf>
    <xf numFmtId="9" fontId="59" fillId="0" borderId="6" xfId="4" applyNumberFormat="1" applyFont="1" applyBorder="1" applyAlignment="1">
      <alignment vertical="top" wrapText="1"/>
    </xf>
    <xf numFmtId="0" fontId="56" fillId="16" borderId="6" xfId="4" applyFont="1" applyFill="1" applyBorder="1" applyAlignment="1">
      <alignment vertical="top" wrapText="1"/>
    </xf>
    <xf numFmtId="9" fontId="56" fillId="27" borderId="8" xfId="4" applyNumberFormat="1" applyFont="1" applyFill="1" applyBorder="1" applyAlignment="1">
      <alignment vertical="top" wrapText="1"/>
    </xf>
    <xf numFmtId="0" fontId="32" fillId="0" borderId="6" xfId="4" applyFont="1" applyBorder="1" applyAlignment="1">
      <alignment vertical="top" wrapText="1"/>
    </xf>
    <xf numFmtId="0" fontId="32" fillId="27" borderId="6" xfId="4" applyFont="1" applyFill="1" applyBorder="1" applyAlignment="1">
      <alignment vertical="top" wrapText="1"/>
    </xf>
    <xf numFmtId="9" fontId="32" fillId="27" borderId="6" xfId="4" applyNumberFormat="1" applyFont="1" applyFill="1" applyBorder="1" applyAlignment="1">
      <alignment vertical="top" wrapText="1"/>
    </xf>
    <xf numFmtId="49" fontId="32" fillId="27" borderId="6" xfId="4" applyNumberFormat="1" applyFont="1" applyFill="1" applyBorder="1" applyAlignment="1">
      <alignment vertical="top" wrapText="1"/>
    </xf>
    <xf numFmtId="166" fontId="32" fillId="27" borderId="6" xfId="4" applyNumberFormat="1" applyFont="1" applyFill="1" applyBorder="1" applyAlignment="1">
      <alignment vertical="top" wrapText="1"/>
    </xf>
    <xf numFmtId="9" fontId="32" fillId="16" borderId="28" xfId="4" applyNumberFormat="1" applyFont="1" applyFill="1" applyBorder="1" applyAlignment="1">
      <alignment vertical="top" wrapText="1"/>
    </xf>
    <xf numFmtId="9" fontId="32" fillId="27" borderId="8" xfId="4" applyNumberFormat="1" applyFont="1" applyFill="1" applyBorder="1" applyAlignment="1">
      <alignment vertical="top" wrapText="1"/>
    </xf>
    <xf numFmtId="0" fontId="60" fillId="0" borderId="0" xfId="4" applyFont="1"/>
    <xf numFmtId="49" fontId="56" fillId="16" borderId="6" xfId="4" applyNumberFormat="1" applyFont="1" applyFill="1" applyBorder="1" applyAlignment="1">
      <alignment vertical="top" wrapText="1"/>
    </xf>
    <xf numFmtId="166" fontId="56" fillId="16" borderId="6" xfId="4" applyNumberFormat="1" applyFont="1" applyFill="1" applyBorder="1" applyAlignment="1">
      <alignment vertical="top" wrapText="1"/>
    </xf>
    <xf numFmtId="0" fontId="56" fillId="16" borderId="8" xfId="4" applyFont="1" applyFill="1" applyBorder="1" applyAlignment="1">
      <alignment vertical="top" wrapText="1"/>
    </xf>
    <xf numFmtId="9" fontId="56" fillId="16" borderId="6" xfId="4" applyNumberFormat="1" applyFont="1" applyFill="1" applyBorder="1" applyAlignment="1">
      <alignment vertical="top" wrapText="1"/>
    </xf>
    <xf numFmtId="9" fontId="56" fillId="16" borderId="8" xfId="4" applyNumberFormat="1" applyFont="1" applyFill="1" applyBorder="1" applyAlignment="1">
      <alignment vertical="top" wrapText="1"/>
    </xf>
    <xf numFmtId="9" fontId="56" fillId="0" borderId="6" xfId="5" applyFont="1" applyBorder="1" applyAlignment="1" applyProtection="1">
      <alignment vertical="top" wrapText="1"/>
    </xf>
    <xf numFmtId="0" fontId="56" fillId="0" borderId="20" xfId="4" applyFont="1" applyBorder="1" applyAlignment="1">
      <alignment vertical="top" wrapText="1"/>
    </xf>
    <xf numFmtId="0" fontId="57" fillId="0" borderId="20" xfId="4" applyFont="1" applyBorder="1" applyAlignment="1">
      <alignment vertical="top" wrapText="1"/>
    </xf>
    <xf numFmtId="0" fontId="56" fillId="0" borderId="20" xfId="4" applyFont="1" applyBorder="1" applyAlignment="1">
      <alignment horizontal="left" vertical="top" wrapText="1" indent="3"/>
    </xf>
    <xf numFmtId="9" fontId="56" fillId="0" borderId="20" xfId="5" applyFont="1" applyBorder="1" applyAlignment="1" applyProtection="1">
      <alignment vertical="top" wrapText="1"/>
    </xf>
    <xf numFmtId="49" fontId="56" fillId="0" borderId="20" xfId="4" applyNumberFormat="1" applyFont="1" applyBorder="1" applyAlignment="1">
      <alignment vertical="top" wrapText="1"/>
    </xf>
    <xf numFmtId="166" fontId="56" fillId="0" borderId="20" xfId="4" applyNumberFormat="1" applyFont="1" applyBorder="1" applyAlignment="1">
      <alignment vertical="top" wrapText="1"/>
    </xf>
    <xf numFmtId="0" fontId="56" fillId="0" borderId="22" xfId="4" applyFont="1" applyBorder="1" applyAlignment="1">
      <alignment vertical="top" wrapText="1"/>
    </xf>
    <xf numFmtId="166" fontId="56" fillId="0" borderId="7" xfId="4" applyNumberFormat="1" applyFont="1" applyBorder="1" applyAlignment="1">
      <alignment vertical="top" wrapText="1"/>
    </xf>
    <xf numFmtId="0" fontId="56" fillId="0" borderId="23" xfId="4" applyFont="1" applyBorder="1" applyAlignment="1">
      <alignment vertical="top" wrapText="1"/>
    </xf>
    <xf numFmtId="0" fontId="57" fillId="0" borderId="23" xfId="4" applyFont="1" applyBorder="1" applyAlignment="1">
      <alignment vertical="top" wrapText="1"/>
    </xf>
    <xf numFmtId="9" fontId="56" fillId="0" borderId="23" xfId="4" applyNumberFormat="1" applyFont="1" applyBorder="1" applyAlignment="1">
      <alignment vertical="top" wrapText="1"/>
    </xf>
    <xf numFmtId="49" fontId="56" fillId="0" borderId="23" xfId="4" applyNumberFormat="1" applyFont="1" applyBorder="1" applyAlignment="1">
      <alignment vertical="top" wrapText="1"/>
    </xf>
    <xf numFmtId="166" fontId="56" fillId="0" borderId="23" xfId="4" applyNumberFormat="1" applyFont="1" applyBorder="1" applyAlignment="1">
      <alignment vertical="top" wrapText="1"/>
    </xf>
    <xf numFmtId="9" fontId="56" fillId="0" borderId="25" xfId="4" applyNumberFormat="1" applyFont="1" applyBorder="1" applyAlignment="1">
      <alignment vertical="top" wrapText="1"/>
    </xf>
    <xf numFmtId="0" fontId="21" fillId="28" borderId="0" xfId="4" applyFont="1" applyFill="1"/>
    <xf numFmtId="0" fontId="57" fillId="28" borderId="6" xfId="4" applyFont="1" applyFill="1" applyBorder="1" applyAlignment="1">
      <alignment vertical="top" wrapText="1"/>
    </xf>
    <xf numFmtId="0" fontId="56" fillId="28" borderId="6" xfId="4" applyFont="1" applyFill="1" applyBorder="1" applyAlignment="1">
      <alignment vertical="top" wrapText="1"/>
    </xf>
    <xf numFmtId="0" fontId="56" fillId="28" borderId="7" xfId="4" applyFont="1" applyFill="1" applyBorder="1" applyAlignment="1">
      <alignment vertical="top" wrapText="1"/>
    </xf>
    <xf numFmtId="0" fontId="56" fillId="28" borderId="9" xfId="4" applyFont="1" applyFill="1" applyBorder="1" applyAlignment="1">
      <alignment vertical="top" wrapText="1"/>
    </xf>
    <xf numFmtId="0" fontId="56" fillId="28" borderId="8" xfId="4" applyFont="1" applyFill="1" applyBorder="1" applyAlignment="1">
      <alignment vertical="top" wrapText="1"/>
    </xf>
    <xf numFmtId="0" fontId="56" fillId="0" borderId="25" xfId="4" applyFont="1" applyBorder="1" applyAlignment="1">
      <alignment vertical="top" wrapText="1"/>
    </xf>
    <xf numFmtId="0" fontId="56" fillId="0" borderId="0" xfId="4" applyFont="1" applyAlignment="1">
      <alignment vertical="top" wrapText="1"/>
    </xf>
    <xf numFmtId="0" fontId="57" fillId="27" borderId="6" xfId="4" applyFont="1" applyFill="1" applyBorder="1" applyAlignment="1">
      <alignment vertical="top" wrapText="1"/>
    </xf>
    <xf numFmtId="0" fontId="56" fillId="16" borderId="9" xfId="4" applyFont="1" applyFill="1" applyBorder="1" applyAlignment="1">
      <alignment vertical="top" wrapText="1"/>
    </xf>
    <xf numFmtId="0" fontId="56" fillId="27" borderId="0" xfId="4" applyFont="1" applyFill="1" applyAlignment="1">
      <alignment vertical="top" wrapText="1"/>
    </xf>
    <xf numFmtId="0" fontId="57" fillId="16" borderId="6" xfId="4" applyFont="1" applyFill="1" applyBorder="1" applyAlignment="1">
      <alignment vertical="top" wrapText="1"/>
    </xf>
    <xf numFmtId="0" fontId="18" fillId="21" borderId="0" xfId="4" applyFont="1" applyFill="1"/>
    <xf numFmtId="0" fontId="57" fillId="21" borderId="6" xfId="4" applyFont="1" applyFill="1" applyBorder="1" applyAlignment="1">
      <alignment vertical="top" wrapText="1"/>
    </xf>
    <xf numFmtId="0" fontId="56" fillId="21" borderId="6" xfId="4" applyFont="1" applyFill="1" applyBorder="1" applyAlignment="1">
      <alignment vertical="top" wrapText="1"/>
    </xf>
    <xf numFmtId="0" fontId="56" fillId="21" borderId="7" xfId="4" applyFont="1" applyFill="1" applyBorder="1" applyAlignment="1">
      <alignment vertical="top" wrapText="1"/>
    </xf>
    <xf numFmtId="0" fontId="56" fillId="21" borderId="9" xfId="4" applyFont="1" applyFill="1" applyBorder="1" applyAlignment="1">
      <alignment vertical="top" wrapText="1"/>
    </xf>
    <xf numFmtId="0" fontId="56" fillId="21" borderId="8" xfId="4" applyFont="1" applyFill="1" applyBorder="1" applyAlignment="1">
      <alignment vertical="top" wrapText="1"/>
    </xf>
    <xf numFmtId="0" fontId="53" fillId="0" borderId="0" xfId="4" applyAlignment="1">
      <alignment wrapText="1"/>
    </xf>
    <xf numFmtId="0" fontId="18" fillId="29" borderId="0" xfId="4" applyFont="1" applyFill="1"/>
    <xf numFmtId="0" fontId="57" fillId="29" borderId="6" xfId="4" applyFont="1" applyFill="1" applyBorder="1" applyAlignment="1">
      <alignment vertical="top" wrapText="1"/>
    </xf>
    <xf numFmtId="0" fontId="56" fillId="29" borderId="6" xfId="4" applyFont="1" applyFill="1" applyBorder="1" applyAlignment="1">
      <alignment vertical="top" wrapText="1"/>
    </xf>
    <xf numFmtId="9" fontId="56" fillId="29" borderId="6" xfId="4" applyNumberFormat="1" applyFont="1" applyFill="1" applyBorder="1" applyAlignment="1">
      <alignment vertical="top" wrapText="1"/>
    </xf>
    <xf numFmtId="0" fontId="56" fillId="29" borderId="7" xfId="4" applyFont="1" applyFill="1" applyBorder="1" applyAlignment="1">
      <alignment vertical="top" wrapText="1"/>
    </xf>
    <xf numFmtId="0" fontId="56" fillId="29" borderId="9" xfId="4" applyFont="1" applyFill="1" applyBorder="1" applyAlignment="1">
      <alignment vertical="top" wrapText="1"/>
    </xf>
    <xf numFmtId="0" fontId="56" fillId="29" borderId="8" xfId="4" applyFont="1" applyFill="1" applyBorder="1" applyAlignment="1">
      <alignment vertical="top" wrapText="1"/>
    </xf>
    <xf numFmtId="0" fontId="63" fillId="0" borderId="6" xfId="4" applyFont="1" applyBorder="1" applyAlignment="1">
      <alignment vertical="top" wrapText="1"/>
    </xf>
    <xf numFmtId="0" fontId="64" fillId="0" borderId="6" xfId="4" applyFont="1" applyBorder="1" applyAlignment="1">
      <alignment vertical="top" wrapText="1"/>
    </xf>
    <xf numFmtId="0" fontId="63" fillId="27" borderId="6" xfId="4" applyFont="1" applyFill="1" applyBorder="1" applyAlignment="1">
      <alignment vertical="top" wrapText="1"/>
    </xf>
    <xf numFmtId="0" fontId="18" fillId="23" borderId="0" xfId="4" applyFont="1" applyFill="1"/>
    <xf numFmtId="0" fontId="57" fillId="23" borderId="6" xfId="4" applyFont="1" applyFill="1" applyBorder="1" applyAlignment="1">
      <alignment vertical="top" wrapText="1"/>
    </xf>
    <xf numFmtId="0" fontId="56" fillId="23" borderId="6" xfId="4" applyFont="1" applyFill="1" applyBorder="1" applyAlignment="1">
      <alignment vertical="top" wrapText="1"/>
    </xf>
    <xf numFmtId="9" fontId="56" fillId="23" borderId="6" xfId="4" applyNumberFormat="1" applyFont="1" applyFill="1" applyBorder="1" applyAlignment="1">
      <alignment vertical="top" wrapText="1"/>
    </xf>
    <xf numFmtId="0" fontId="56" fillId="23" borderId="7" xfId="4" applyFont="1" applyFill="1" applyBorder="1" applyAlignment="1">
      <alignment vertical="top" wrapText="1"/>
    </xf>
    <xf numFmtId="0" fontId="56" fillId="23" borderId="9" xfId="4" applyFont="1" applyFill="1" applyBorder="1" applyAlignment="1">
      <alignment vertical="top" wrapText="1"/>
    </xf>
    <xf numFmtId="0" fontId="56" fillId="23" borderId="8" xfId="4" applyFont="1" applyFill="1" applyBorder="1" applyAlignment="1">
      <alignment vertical="top" wrapText="1"/>
    </xf>
    <xf numFmtId="0" fontId="64" fillId="27" borderId="6" xfId="4" applyFont="1" applyFill="1" applyBorder="1" applyAlignment="1">
      <alignment vertical="top" wrapText="1"/>
    </xf>
    <xf numFmtId="9" fontId="64" fillId="0" borderId="6" xfId="4" applyNumberFormat="1" applyFont="1" applyBorder="1" applyAlignment="1">
      <alignment vertical="top" wrapText="1"/>
    </xf>
    <xf numFmtId="9" fontId="64" fillId="27" borderId="6" xfId="4" applyNumberFormat="1" applyFont="1" applyFill="1" applyBorder="1" applyAlignment="1">
      <alignment vertical="top" wrapText="1"/>
    </xf>
    <xf numFmtId="0" fontId="21" fillId="30" borderId="0" xfId="4" applyFont="1" applyFill="1"/>
    <xf numFmtId="0" fontId="63" fillId="30" borderId="6" xfId="4" applyFont="1" applyFill="1" applyBorder="1" applyAlignment="1">
      <alignment vertical="top" wrapText="1"/>
    </xf>
    <xf numFmtId="0" fontId="64" fillId="30" borderId="6" xfId="4" applyFont="1" applyFill="1" applyBorder="1" applyAlignment="1">
      <alignment vertical="top" wrapText="1"/>
    </xf>
    <xf numFmtId="0" fontId="56" fillId="30" borderId="6" xfId="4" applyFont="1" applyFill="1" applyBorder="1" applyAlignment="1">
      <alignment vertical="top" wrapText="1"/>
    </xf>
    <xf numFmtId="9" fontId="64" fillId="30" borderId="6" xfId="4" applyNumberFormat="1" applyFont="1" applyFill="1" applyBorder="1" applyAlignment="1">
      <alignment vertical="top" wrapText="1"/>
    </xf>
    <xf numFmtId="0" fontId="56" fillId="30" borderId="7" xfId="4" applyFont="1" applyFill="1" applyBorder="1" applyAlignment="1">
      <alignment vertical="top" wrapText="1"/>
    </xf>
    <xf numFmtId="0" fontId="56" fillId="30" borderId="9" xfId="4" applyFont="1" applyFill="1" applyBorder="1" applyAlignment="1">
      <alignment vertical="top" wrapText="1"/>
    </xf>
    <xf numFmtId="0" fontId="56" fillId="30" borderId="8" xfId="4" applyFont="1" applyFill="1" applyBorder="1" applyAlignment="1">
      <alignment vertical="top" wrapText="1"/>
    </xf>
    <xf numFmtId="0" fontId="56" fillId="31" borderId="0" xfId="4" applyFont="1" applyFill="1" applyAlignment="1">
      <alignment vertical="top" wrapText="1"/>
    </xf>
    <xf numFmtId="0" fontId="18" fillId="25" borderId="0" xfId="4" applyFont="1" applyFill="1"/>
    <xf numFmtId="0" fontId="63" fillId="25" borderId="6" xfId="4" applyFont="1" applyFill="1" applyBorder="1" applyAlignment="1">
      <alignment vertical="top" wrapText="1"/>
    </xf>
    <xf numFmtId="0" fontId="64" fillId="25" borderId="6" xfId="4" applyFont="1" applyFill="1" applyBorder="1" applyAlignment="1">
      <alignment vertical="top" wrapText="1"/>
    </xf>
    <xf numFmtId="0" fontId="56" fillId="25" borderId="6" xfId="4" applyFont="1" applyFill="1" applyBorder="1" applyAlignment="1">
      <alignment vertical="top" wrapText="1"/>
    </xf>
    <xf numFmtId="0" fontId="56" fillId="25" borderId="7" xfId="4" applyFont="1" applyFill="1" applyBorder="1" applyAlignment="1">
      <alignment vertical="top" wrapText="1"/>
    </xf>
    <xf numFmtId="0" fontId="56" fillId="25" borderId="9" xfId="4" applyFont="1" applyFill="1" applyBorder="1" applyAlignment="1">
      <alignment vertical="top" wrapText="1"/>
    </xf>
    <xf numFmtId="0" fontId="56" fillId="25" borderId="8" xfId="4" applyFont="1" applyFill="1" applyBorder="1" applyAlignment="1">
      <alignment vertical="top" wrapText="1"/>
    </xf>
    <xf numFmtId="0" fontId="57" fillId="16" borderId="0" xfId="4" applyFont="1" applyFill="1" applyAlignment="1">
      <alignment vertical="top" wrapText="1"/>
    </xf>
    <xf numFmtId="0" fontId="53" fillId="16" borderId="0" xfId="4" applyFill="1" applyAlignment="1">
      <alignment vertical="top" wrapText="1"/>
    </xf>
    <xf numFmtId="0" fontId="57" fillId="0" borderId="0" xfId="4" applyFont="1" applyAlignment="1">
      <alignment vertical="top" wrapText="1"/>
    </xf>
    <xf numFmtId="0" fontId="53" fillId="0" borderId="0" xfId="4" applyAlignment="1">
      <alignment vertical="top" wrapText="1"/>
    </xf>
    <xf numFmtId="0" fontId="53" fillId="0" borderId="0" xfId="4"/>
    <xf numFmtId="0" fontId="56" fillId="32" borderId="6" xfId="4" applyFont="1" applyFill="1" applyBorder="1" applyAlignment="1">
      <alignment vertical="top" wrapText="1"/>
    </xf>
    <xf numFmtId="9" fontId="56" fillId="32" borderId="6" xfId="4" applyNumberFormat="1" applyFont="1" applyFill="1" applyBorder="1" applyAlignment="1">
      <alignment vertical="top" wrapText="1"/>
    </xf>
    <xf numFmtId="49" fontId="56" fillId="32" borderId="6" xfId="4" applyNumberFormat="1" applyFont="1" applyFill="1" applyBorder="1" applyAlignment="1">
      <alignment vertical="top" wrapText="1"/>
    </xf>
    <xf numFmtId="166" fontId="56" fillId="32" borderId="6" xfId="4" applyNumberFormat="1" applyFont="1" applyFill="1" applyBorder="1" applyAlignment="1">
      <alignment vertical="top" wrapText="1"/>
    </xf>
    <xf numFmtId="0" fontId="56" fillId="32" borderId="8" xfId="4" applyFont="1" applyFill="1" applyBorder="1" applyAlignment="1">
      <alignment vertical="top" wrapText="1"/>
    </xf>
    <xf numFmtId="0" fontId="64" fillId="0" borderId="6" xfId="4" applyFont="1" applyBorder="1" applyAlignment="1">
      <alignment horizontal="left" vertical="top" wrapText="1" indent="3"/>
    </xf>
    <xf numFmtId="9" fontId="56" fillId="32" borderId="8" xfId="4" applyNumberFormat="1" applyFont="1" applyFill="1" applyBorder="1" applyAlignment="1">
      <alignment vertical="top" wrapText="1"/>
    </xf>
    <xf numFmtId="0" fontId="56" fillId="33" borderId="6" xfId="4" applyFont="1" applyFill="1" applyBorder="1" applyAlignment="1">
      <alignment vertical="top" wrapText="1"/>
    </xf>
    <xf numFmtId="0" fontId="57" fillId="33" borderId="6" xfId="4" applyFont="1" applyFill="1" applyBorder="1" applyAlignment="1">
      <alignment vertical="top" wrapText="1"/>
    </xf>
    <xf numFmtId="0" fontId="56" fillId="33" borderId="6" xfId="4" applyFont="1" applyFill="1" applyBorder="1" applyAlignment="1">
      <alignment horizontal="left" vertical="top" wrapText="1" indent="3"/>
    </xf>
    <xf numFmtId="9" fontId="56" fillId="33" borderId="6" xfId="4" applyNumberFormat="1" applyFont="1" applyFill="1" applyBorder="1" applyAlignment="1">
      <alignment vertical="top" wrapText="1"/>
    </xf>
    <xf numFmtId="49" fontId="56" fillId="33" borderId="6" xfId="4" applyNumberFormat="1" applyFont="1" applyFill="1" applyBorder="1" applyAlignment="1">
      <alignment vertical="top" wrapText="1"/>
    </xf>
    <xf numFmtId="166" fontId="56" fillId="33" borderId="6" xfId="4" applyNumberFormat="1" applyFont="1" applyFill="1" applyBorder="1" applyAlignment="1">
      <alignment vertical="top" wrapText="1"/>
    </xf>
    <xf numFmtId="0" fontId="65" fillId="0" borderId="6" xfId="4" applyFont="1" applyBorder="1" applyAlignment="1">
      <alignment vertical="center"/>
    </xf>
    <xf numFmtId="0" fontId="65" fillId="0" borderId="6" xfId="4" applyFont="1" applyBorder="1"/>
    <xf numFmtId="0" fontId="65" fillId="0" borderId="6" xfId="4" applyFont="1" applyBorder="1" applyAlignment="1">
      <alignment vertical="top"/>
    </xf>
    <xf numFmtId="0" fontId="65" fillId="0" borderId="6" xfId="4" applyFont="1" applyBorder="1" applyAlignment="1">
      <alignment vertical="center" wrapText="1"/>
    </xf>
    <xf numFmtId="0" fontId="65" fillId="0" borderId="0" xfId="4" applyFont="1" applyAlignment="1">
      <alignment vertical="top" wrapText="1"/>
    </xf>
    <xf numFmtId="0" fontId="56" fillId="17" borderId="6" xfId="4" applyFont="1" applyFill="1" applyBorder="1" applyAlignment="1">
      <alignment vertical="top" wrapText="1"/>
    </xf>
    <xf numFmtId="0" fontId="57" fillId="17" borderId="6" xfId="4" applyFont="1" applyFill="1" applyBorder="1" applyAlignment="1">
      <alignment vertical="top" wrapText="1"/>
    </xf>
    <xf numFmtId="49" fontId="56" fillId="17" borderId="6" xfId="4" applyNumberFormat="1" applyFont="1" applyFill="1" applyBorder="1" applyAlignment="1">
      <alignment vertical="top" wrapText="1"/>
    </xf>
    <xf numFmtId="166" fontId="56" fillId="17" borderId="6" xfId="4" applyNumberFormat="1" applyFont="1" applyFill="1" applyBorder="1" applyAlignment="1">
      <alignment vertical="top" wrapText="1"/>
    </xf>
    <xf numFmtId="0" fontId="56" fillId="17" borderId="28" xfId="4" applyFont="1" applyFill="1" applyBorder="1" applyAlignment="1">
      <alignment vertical="top" wrapText="1"/>
    </xf>
    <xf numFmtId="0" fontId="56" fillId="17" borderId="8" xfId="4" applyFont="1" applyFill="1" applyBorder="1" applyAlignment="1">
      <alignment vertical="top" wrapText="1"/>
    </xf>
    <xf numFmtId="0" fontId="56" fillId="17" borderId="0" xfId="4" applyFont="1" applyFill="1" applyAlignment="1">
      <alignment vertical="top" wrapText="1"/>
    </xf>
    <xf numFmtId="0" fontId="56" fillId="16" borderId="6" xfId="4" applyFont="1" applyFill="1" applyBorder="1" applyAlignment="1">
      <alignment horizontal="left" vertical="top" wrapText="1" indent="3"/>
    </xf>
    <xf numFmtId="0" fontId="21" fillId="34" borderId="0" xfId="4" applyFont="1" applyFill="1"/>
    <xf numFmtId="0" fontId="57" fillId="34" borderId="6" xfId="4" applyFont="1" applyFill="1" applyBorder="1" applyAlignment="1">
      <alignment vertical="top" wrapText="1"/>
    </xf>
    <xf numFmtId="0" fontId="56" fillId="34" borderId="6" xfId="4" applyFont="1" applyFill="1" applyBorder="1" applyAlignment="1">
      <alignment vertical="top" wrapText="1"/>
    </xf>
    <xf numFmtId="0" fontId="56" fillId="34" borderId="7" xfId="4" applyFont="1" applyFill="1" applyBorder="1" applyAlignment="1">
      <alignment vertical="top" wrapText="1"/>
    </xf>
    <xf numFmtId="0" fontId="56" fillId="35" borderId="9" xfId="4" applyFont="1" applyFill="1" applyBorder="1" applyAlignment="1">
      <alignment vertical="top" wrapText="1"/>
    </xf>
    <xf numFmtId="0" fontId="56" fillId="35" borderId="8" xfId="4" applyFont="1" applyFill="1" applyBorder="1" applyAlignment="1">
      <alignment vertical="top" wrapText="1"/>
    </xf>
    <xf numFmtId="0" fontId="56" fillId="35" borderId="6" xfId="4" applyFont="1" applyFill="1" applyBorder="1" applyAlignment="1">
      <alignment vertical="top" wrapText="1"/>
    </xf>
    <xf numFmtId="0" fontId="56" fillId="16" borderId="20" xfId="4" applyFont="1" applyFill="1" applyBorder="1" applyAlignment="1">
      <alignment vertical="top" wrapText="1"/>
    </xf>
    <xf numFmtId="0" fontId="56" fillId="16" borderId="23" xfId="4" applyFont="1" applyFill="1" applyBorder="1" applyAlignment="1">
      <alignment vertical="top" wrapText="1"/>
    </xf>
    <xf numFmtId="0" fontId="57" fillId="32" borderId="6" xfId="4" applyFont="1" applyFill="1" applyBorder="1" applyAlignment="1">
      <alignment vertical="top" wrapText="1"/>
    </xf>
    <xf numFmtId="0" fontId="56" fillId="32" borderId="0" xfId="4" applyFont="1" applyFill="1" applyAlignment="1">
      <alignment vertical="top" wrapText="1"/>
    </xf>
    <xf numFmtId="0" fontId="56" fillId="36" borderId="6" xfId="4" applyFont="1" applyFill="1" applyBorder="1" applyAlignment="1">
      <alignment vertical="top" wrapText="1"/>
    </xf>
    <xf numFmtId="0" fontId="53" fillId="0" borderId="6" xfId="4" applyBorder="1" applyAlignment="1">
      <alignment vertical="top" wrapText="1"/>
    </xf>
    <xf numFmtId="0" fontId="53" fillId="16" borderId="6" xfId="4" applyFill="1" applyBorder="1" applyAlignment="1">
      <alignment vertical="top" wrapText="1"/>
    </xf>
    <xf numFmtId="9" fontId="53" fillId="16" borderId="6" xfId="4" applyNumberFormat="1" applyFill="1" applyBorder="1" applyAlignment="1">
      <alignment vertical="top" wrapText="1"/>
    </xf>
    <xf numFmtId="0" fontId="64" fillId="16" borderId="6" xfId="4" applyFont="1" applyFill="1" applyBorder="1" applyAlignment="1">
      <alignment vertical="top" wrapText="1"/>
    </xf>
    <xf numFmtId="0" fontId="63" fillId="32" borderId="6" xfId="4" applyFont="1" applyFill="1" applyBorder="1" applyAlignment="1">
      <alignment vertical="top" wrapText="1"/>
    </xf>
    <xf numFmtId="0" fontId="64" fillId="32" borderId="6" xfId="4" applyFont="1" applyFill="1" applyBorder="1" applyAlignment="1">
      <alignment vertical="top" wrapText="1"/>
    </xf>
    <xf numFmtId="0" fontId="64" fillId="37" borderId="6" xfId="4" applyFont="1" applyFill="1" applyBorder="1" applyAlignment="1">
      <alignment vertical="top" wrapText="1"/>
    </xf>
    <xf numFmtId="9" fontId="64" fillId="32" borderId="6" xfId="4" applyNumberFormat="1" applyFont="1" applyFill="1" applyBorder="1" applyAlignment="1">
      <alignment vertical="top" wrapText="1"/>
    </xf>
    <xf numFmtId="0" fontId="21" fillId="24" borderId="0" xfId="4" applyFont="1" applyFill="1"/>
    <xf numFmtId="0" fontId="63" fillId="24" borderId="6" xfId="4" applyFont="1" applyFill="1" applyBorder="1" applyAlignment="1">
      <alignment vertical="top" wrapText="1"/>
    </xf>
    <xf numFmtId="0" fontId="64" fillId="24" borderId="6" xfId="4" applyFont="1" applyFill="1" applyBorder="1" applyAlignment="1">
      <alignment vertical="top" wrapText="1"/>
    </xf>
    <xf numFmtId="9" fontId="64" fillId="24" borderId="6" xfId="4" applyNumberFormat="1" applyFont="1" applyFill="1" applyBorder="1" applyAlignment="1">
      <alignment vertical="top" wrapText="1"/>
    </xf>
    <xf numFmtId="0" fontId="56" fillId="24" borderId="6" xfId="4" applyFont="1" applyFill="1" applyBorder="1" applyAlignment="1">
      <alignment vertical="top" wrapText="1"/>
    </xf>
    <xf numFmtId="0" fontId="56" fillId="24" borderId="7" xfId="4" applyFont="1" applyFill="1" applyBorder="1" applyAlignment="1">
      <alignment vertical="top" wrapText="1"/>
    </xf>
    <xf numFmtId="0" fontId="56" fillId="24" borderId="9" xfId="4" applyFont="1" applyFill="1" applyBorder="1" applyAlignment="1">
      <alignment vertical="top" wrapText="1"/>
    </xf>
    <xf numFmtId="0" fontId="56" fillId="24" borderId="8" xfId="4" applyFont="1" applyFill="1" applyBorder="1" applyAlignment="1">
      <alignment vertical="top" wrapText="1"/>
    </xf>
    <xf numFmtId="0" fontId="56" fillId="38" borderId="0" xfId="4" applyFont="1" applyFill="1" applyAlignment="1">
      <alignment vertical="top" wrapText="1"/>
    </xf>
    <xf numFmtId="0" fontId="67" fillId="5" borderId="6" xfId="0" applyFont="1" applyFill="1" applyBorder="1" applyAlignment="1">
      <alignment vertical="top" wrapText="1"/>
    </xf>
    <xf numFmtId="0" fontId="4" fillId="6" borderId="23" xfId="0" applyFont="1" applyFill="1" applyBorder="1" applyAlignment="1">
      <alignment vertical="top" wrapText="1"/>
    </xf>
    <xf numFmtId="0" fontId="5" fillId="2" borderId="6" xfId="0" applyFont="1" applyFill="1" applyBorder="1" applyAlignment="1">
      <alignment horizontal="center" vertical="top" wrapText="1"/>
    </xf>
    <xf numFmtId="4" fontId="5" fillId="2" borderId="6" xfId="0" applyNumberFormat="1" applyFont="1" applyFill="1" applyBorder="1" applyAlignment="1">
      <alignment vertical="top" wrapText="1"/>
    </xf>
    <xf numFmtId="4" fontId="5" fillId="8" borderId="6" xfId="0" applyNumberFormat="1" applyFont="1" applyFill="1" applyBorder="1" applyAlignment="1">
      <alignment vertical="top" wrapText="1"/>
    </xf>
    <xf numFmtId="4" fontId="4" fillId="0" borderId="6" xfId="0" quotePrefix="1" applyNumberFormat="1" applyFont="1" applyBorder="1" applyAlignment="1">
      <alignment vertical="top" wrapText="1"/>
    </xf>
    <xf numFmtId="4" fontId="4" fillId="0" borderId="6" xfId="0" applyNumberFormat="1" applyFont="1" applyBorder="1" applyAlignment="1">
      <alignment vertical="top" wrapText="1"/>
    </xf>
    <xf numFmtId="4" fontId="4" fillId="5" borderId="6" xfId="0" applyNumberFormat="1" applyFont="1" applyFill="1" applyBorder="1" applyAlignment="1">
      <alignment vertical="top" wrapText="1"/>
    </xf>
    <xf numFmtId="4" fontId="6" fillId="0" borderId="6" xfId="0" applyNumberFormat="1" applyFont="1" applyBorder="1" applyAlignment="1">
      <alignment vertical="top" wrapText="1"/>
    </xf>
    <xf numFmtId="4" fontId="6" fillId="3" borderId="6" xfId="0" applyNumberFormat="1" applyFont="1" applyFill="1" applyBorder="1" applyAlignment="1">
      <alignment vertical="top" wrapText="1"/>
    </xf>
    <xf numFmtId="4" fontId="4" fillId="3" borderId="6" xfId="0" applyNumberFormat="1" applyFont="1" applyFill="1" applyBorder="1" applyAlignment="1">
      <alignment vertical="top" wrapText="1"/>
    </xf>
    <xf numFmtId="4" fontId="4" fillId="0" borderId="23" xfId="0" applyNumberFormat="1" applyFont="1" applyBorder="1" applyAlignment="1">
      <alignment vertical="top" wrapText="1"/>
    </xf>
    <xf numFmtId="4" fontId="4" fillId="14" borderId="6" xfId="0" applyNumberFormat="1" applyFont="1" applyFill="1" applyBorder="1" applyAlignment="1">
      <alignment vertical="top" wrapText="1"/>
    </xf>
    <xf numFmtId="4" fontId="4" fillId="0" borderId="8" xfId="0" applyNumberFormat="1" applyFont="1" applyBorder="1" applyAlignment="1">
      <alignment vertical="top" wrapText="1"/>
    </xf>
    <xf numFmtId="4" fontId="4" fillId="0" borderId="20" xfId="0" applyNumberFormat="1" applyFont="1" applyBorder="1" applyAlignment="1">
      <alignment vertical="top" wrapText="1"/>
    </xf>
    <xf numFmtId="4" fontId="4" fillId="0" borderId="19" xfId="0" applyNumberFormat="1" applyFont="1" applyBorder="1" applyAlignment="1">
      <alignment vertical="top" wrapText="1"/>
    </xf>
    <xf numFmtId="4" fontId="4" fillId="9" borderId="6" xfId="0" applyNumberFormat="1" applyFont="1" applyFill="1" applyBorder="1" applyAlignment="1">
      <alignment vertical="top" wrapText="1"/>
    </xf>
    <xf numFmtId="4" fontId="4" fillId="10" borderId="6" xfId="0" applyNumberFormat="1" applyFont="1" applyFill="1" applyBorder="1" applyAlignment="1">
      <alignment vertical="top" wrapText="1"/>
    </xf>
    <xf numFmtId="4" fontId="4" fillId="11" borderId="6" xfId="0" applyNumberFormat="1" applyFont="1" applyFill="1" applyBorder="1" applyAlignment="1">
      <alignment vertical="top" wrapText="1"/>
    </xf>
    <xf numFmtId="4" fontId="4" fillId="12" borderId="6" xfId="0" applyNumberFormat="1" applyFont="1" applyFill="1" applyBorder="1" applyAlignment="1">
      <alignment vertical="top" wrapText="1"/>
    </xf>
    <xf numFmtId="4" fontId="4" fillId="13" borderId="6" xfId="0" applyNumberFormat="1" applyFont="1" applyFill="1" applyBorder="1" applyAlignment="1">
      <alignment vertical="top" wrapText="1"/>
    </xf>
    <xf numFmtId="4" fontId="4" fillId="6" borderId="0" xfId="0" applyNumberFormat="1" applyFont="1" applyFill="1" applyAlignment="1">
      <alignment vertical="top" wrapText="1"/>
    </xf>
    <xf numFmtId="0" fontId="4" fillId="6" borderId="23" xfId="0" applyFont="1" applyFill="1" applyBorder="1" applyAlignment="1">
      <alignment horizontal="center" vertical="top" wrapText="1"/>
    </xf>
    <xf numFmtId="9" fontId="4" fillId="6" borderId="6" xfId="0" applyNumberFormat="1" applyFont="1" applyFill="1" applyBorder="1" applyAlignment="1">
      <alignment vertical="top" wrapText="1"/>
    </xf>
    <xf numFmtId="9" fontId="4" fillId="6" borderId="23" xfId="0" applyNumberFormat="1" applyFont="1" applyFill="1" applyBorder="1" applyAlignment="1">
      <alignment vertical="top" wrapText="1"/>
    </xf>
    <xf numFmtId="1" fontId="27" fillId="15" borderId="6" xfId="3" applyNumberFormat="1" applyFont="1" applyFill="1" applyBorder="1" applyAlignment="1">
      <alignment vertical="top" wrapText="1"/>
    </xf>
    <xf numFmtId="1" fontId="27" fillId="17" borderId="6" xfId="3" applyNumberFormat="1" applyFont="1" applyFill="1" applyBorder="1" applyAlignment="1">
      <alignment vertical="top" wrapText="1"/>
    </xf>
    <xf numFmtId="1" fontId="29" fillId="18" borderId="6" xfId="3" applyNumberFormat="1" applyFont="1" applyFill="1" applyBorder="1" applyAlignment="1">
      <alignment vertical="top" wrapText="1"/>
    </xf>
    <xf numFmtId="1" fontId="29" fillId="0" borderId="6" xfId="3" applyNumberFormat="1" applyFont="1" applyBorder="1" applyAlignment="1">
      <alignment vertical="top" wrapText="1"/>
    </xf>
    <xf numFmtId="1" fontId="29" fillId="16" borderId="0" xfId="3" applyNumberFormat="1" applyFont="1" applyFill="1" applyAlignment="1">
      <alignment vertical="top" wrapText="1"/>
    </xf>
    <xf numFmtId="1" fontId="26" fillId="0" borderId="0" xfId="3" applyNumberFormat="1"/>
    <xf numFmtId="1" fontId="29" fillId="16" borderId="6" xfId="3" applyNumberFormat="1" applyFont="1" applyFill="1" applyBorder="1" applyAlignment="1">
      <alignment vertical="top" wrapText="1"/>
    </xf>
    <xf numFmtId="1" fontId="38" fillId="16" borderId="6" xfId="3" applyNumberFormat="1" applyFont="1" applyFill="1" applyBorder="1"/>
    <xf numFmtId="1" fontId="29" fillId="0" borderId="23" xfId="3" applyNumberFormat="1" applyFont="1" applyBorder="1" applyAlignment="1">
      <alignment vertical="top" wrapText="1"/>
    </xf>
    <xf numFmtId="1" fontId="29" fillId="20" borderId="6" xfId="3" applyNumberFormat="1" applyFont="1" applyFill="1" applyBorder="1" applyAlignment="1">
      <alignment vertical="top" wrapText="1"/>
    </xf>
    <xf numFmtId="1" fontId="29" fillId="21" borderId="6" xfId="3" applyNumberFormat="1" applyFont="1" applyFill="1" applyBorder="1" applyAlignment="1">
      <alignment vertical="top" wrapText="1"/>
    </xf>
    <xf numFmtId="1" fontId="29" fillId="0" borderId="0" xfId="3" applyNumberFormat="1" applyFont="1" applyAlignment="1">
      <alignment vertical="top" wrapText="1"/>
    </xf>
    <xf numFmtId="1" fontId="29" fillId="22" borderId="6" xfId="3" applyNumberFormat="1" applyFont="1" applyFill="1" applyBorder="1" applyAlignment="1">
      <alignment vertical="top" wrapText="1"/>
    </xf>
    <xf numFmtId="1" fontId="29" fillId="23" borderId="6" xfId="3" applyNumberFormat="1" applyFont="1" applyFill="1" applyBorder="1" applyAlignment="1">
      <alignment vertical="top" wrapText="1"/>
    </xf>
    <xf numFmtId="1" fontId="29" fillId="24" borderId="6" xfId="3" applyNumberFormat="1" applyFont="1" applyFill="1" applyBorder="1" applyAlignment="1">
      <alignment vertical="top" wrapText="1"/>
    </xf>
    <xf numFmtId="1" fontId="26" fillId="0" borderId="6" xfId="3" applyNumberFormat="1" applyBorder="1"/>
    <xf numFmtId="1" fontId="26" fillId="0" borderId="6" xfId="3" applyNumberFormat="1" applyBorder="1" applyAlignment="1">
      <alignment vertical="top" wrapText="1"/>
    </xf>
    <xf numFmtId="1" fontId="29" fillId="25" borderId="6" xfId="3" applyNumberFormat="1" applyFont="1" applyFill="1" applyBorder="1" applyAlignment="1">
      <alignment vertical="top" wrapText="1"/>
    </xf>
    <xf numFmtId="0" fontId="17" fillId="0" borderId="18" xfId="0" applyFont="1" applyBorder="1" applyAlignment="1">
      <alignment horizontal="center" wrapText="1"/>
    </xf>
    <xf numFmtId="0" fontId="31" fillId="0" borderId="0" xfId="3" applyFont="1" applyAlignment="1">
      <alignment vertical="top" wrapText="1"/>
    </xf>
    <xf numFmtId="0" fontId="26" fillId="0" borderId="0" xfId="3" applyAlignment="1">
      <alignment vertical="top" wrapText="1"/>
    </xf>
    <xf numFmtId="1" fontId="29" fillId="0" borderId="20" xfId="3" applyNumberFormat="1" applyFont="1" applyBorder="1" applyAlignment="1">
      <alignment vertical="top" wrapText="1"/>
    </xf>
    <xf numFmtId="0" fontId="4" fillId="6" borderId="6" xfId="0" applyFont="1" applyFill="1" applyBorder="1" applyAlignment="1">
      <alignment vertical="top" textRotation="45" wrapText="1"/>
    </xf>
    <xf numFmtId="0" fontId="5" fillId="6" borderId="6" xfId="0" applyFont="1" applyFill="1" applyBorder="1" applyAlignment="1">
      <alignment vertical="top" wrapText="1"/>
    </xf>
    <xf numFmtId="0" fontId="18" fillId="8" borderId="6" xfId="0" applyFont="1" applyFill="1" applyBorder="1"/>
    <xf numFmtId="0" fontId="4" fillId="8" borderId="6" xfId="0" applyFont="1" applyFill="1" applyBorder="1" applyAlignment="1">
      <alignment vertical="top" textRotation="45" wrapText="1"/>
    </xf>
    <xf numFmtId="1" fontId="4" fillId="0" borderId="6" xfId="0" applyNumberFormat="1" applyFont="1" applyBorder="1" applyAlignment="1">
      <alignment vertical="top" wrapText="1"/>
    </xf>
    <xf numFmtId="0" fontId="6" fillId="6" borderId="6" xfId="0" applyFont="1" applyFill="1" applyBorder="1" applyAlignment="1">
      <alignment vertical="top" wrapText="1"/>
    </xf>
    <xf numFmtId="9" fontId="6" fillId="6" borderId="6" xfId="0" applyNumberFormat="1" applyFont="1" applyFill="1" applyBorder="1" applyAlignment="1">
      <alignment vertical="top" wrapText="1"/>
    </xf>
    <xf numFmtId="9" fontId="19" fillId="6" borderId="6" xfId="0" applyNumberFormat="1" applyFont="1" applyFill="1" applyBorder="1" applyAlignment="1">
      <alignment vertical="top" wrapText="1"/>
    </xf>
    <xf numFmtId="0" fontId="21" fillId="14" borderId="6" xfId="0" applyFont="1" applyFill="1" applyBorder="1"/>
    <xf numFmtId="0" fontId="18" fillId="9" borderId="6" xfId="0" applyFont="1" applyFill="1" applyBorder="1"/>
    <xf numFmtId="0" fontId="18" fillId="10" borderId="6" xfId="0" applyFont="1" applyFill="1" applyBorder="1"/>
    <xf numFmtId="0" fontId="18" fillId="11" borderId="6" xfId="0" applyFont="1" applyFill="1" applyBorder="1"/>
    <xf numFmtId="0" fontId="21" fillId="12" borderId="6" xfId="0" applyFont="1" applyFill="1" applyBorder="1"/>
    <xf numFmtId="0" fontId="18" fillId="13" borderId="6" xfId="0" applyFont="1" applyFill="1" applyBorder="1"/>
    <xf numFmtId="0" fontId="4" fillId="0" borderId="0" xfId="0" applyFont="1" applyAlignment="1">
      <alignment horizontal="center" vertical="top" wrapText="1"/>
    </xf>
    <xf numFmtId="9" fontId="4" fillId="0" borderId="0" xfId="0" applyNumberFormat="1" applyFont="1" applyAlignment="1">
      <alignment vertical="top" wrapText="1"/>
    </xf>
    <xf numFmtId="0" fontId="4" fillId="5" borderId="6" xfId="0" applyFont="1" applyFill="1" applyBorder="1" applyAlignment="1">
      <alignment horizontal="center" vertical="top" wrapText="1"/>
    </xf>
    <xf numFmtId="0" fontId="68" fillId="0" borderId="0" xfId="0" applyFont="1"/>
    <xf numFmtId="168" fontId="0" fillId="0" borderId="0" xfId="0" applyNumberFormat="1"/>
    <xf numFmtId="0" fontId="70" fillId="0" borderId="6" xfId="0" applyFont="1" applyBorder="1" applyAlignment="1">
      <alignment vertical="top" wrapText="1"/>
    </xf>
    <xf numFmtId="0" fontId="70" fillId="5" borderId="6" xfId="0" applyFont="1" applyFill="1" applyBorder="1" applyAlignment="1">
      <alignment vertical="top" wrapText="1"/>
    </xf>
    <xf numFmtId="9" fontId="70" fillId="5" borderId="6" xfId="0" applyNumberFormat="1" applyFont="1" applyFill="1" applyBorder="1" applyAlignment="1">
      <alignment vertical="top" wrapText="1"/>
    </xf>
    <xf numFmtId="49" fontId="70" fillId="5" borderId="6" xfId="0" applyNumberFormat="1" applyFont="1" applyFill="1" applyBorder="1" applyAlignment="1">
      <alignment vertical="top" wrapText="1"/>
    </xf>
    <xf numFmtId="166" fontId="70" fillId="5" borderId="6" xfId="0" applyNumberFormat="1" applyFont="1" applyFill="1" applyBorder="1" applyAlignment="1">
      <alignment vertical="top" wrapText="1"/>
    </xf>
    <xf numFmtId="9" fontId="70" fillId="6" borderId="28" xfId="0" applyNumberFormat="1" applyFont="1" applyFill="1" applyBorder="1" applyAlignment="1">
      <alignment vertical="top" wrapText="1"/>
    </xf>
    <xf numFmtId="9" fontId="70" fillId="5" borderId="8" xfId="0" applyNumberFormat="1" applyFont="1" applyFill="1" applyBorder="1" applyAlignment="1">
      <alignment vertical="top" wrapText="1"/>
    </xf>
    <xf numFmtId="0" fontId="70" fillId="0" borderId="19" xfId="0" applyFont="1" applyBorder="1" applyAlignment="1">
      <alignment vertical="top" wrapText="1"/>
    </xf>
    <xf numFmtId="0" fontId="16" fillId="0" borderId="34" xfId="0" applyFont="1" applyBorder="1" applyAlignment="1">
      <alignment wrapText="1"/>
    </xf>
    <xf numFmtId="0" fontId="17" fillId="0" borderId="35" xfId="0" applyFont="1" applyBorder="1" applyAlignment="1">
      <alignment wrapText="1"/>
    </xf>
    <xf numFmtId="0" fontId="17" fillId="0" borderId="36" xfId="0" applyFont="1" applyBorder="1" applyAlignment="1">
      <alignment wrapText="1"/>
    </xf>
    <xf numFmtId="0" fontId="17" fillId="0" borderId="36" xfId="0" applyFont="1" applyBorder="1"/>
    <xf numFmtId="0" fontId="17" fillId="0" borderId="37" xfId="0" applyFont="1" applyBorder="1" applyAlignment="1">
      <alignment wrapText="1"/>
    </xf>
    <xf numFmtId="9" fontId="4" fillId="0" borderId="11" xfId="0" applyNumberFormat="1" applyFont="1" applyBorder="1" applyAlignment="1">
      <alignment vertical="center"/>
    </xf>
    <xf numFmtId="9" fontId="4" fillId="0" borderId="0" xfId="0" applyNumberFormat="1" applyFont="1" applyAlignment="1">
      <alignment vertical="center"/>
    </xf>
    <xf numFmtId="164" fontId="4" fillId="0" borderId="38" xfId="0" applyNumberFormat="1" applyFont="1" applyBorder="1" applyAlignment="1">
      <alignment vertical="center"/>
    </xf>
    <xf numFmtId="9" fontId="4" fillId="0" borderId="12" xfId="0" applyNumberFormat="1" applyFont="1" applyBorder="1" applyAlignment="1">
      <alignment vertical="center"/>
    </xf>
    <xf numFmtId="9" fontId="4" fillId="0" borderId="3" xfId="0" applyNumberFormat="1" applyFont="1" applyBorder="1" applyAlignment="1">
      <alignment vertical="center"/>
    </xf>
    <xf numFmtId="164" fontId="4" fillId="0" borderId="39" xfId="0" applyNumberFormat="1" applyFont="1" applyBorder="1" applyAlignment="1">
      <alignment vertical="center"/>
    </xf>
    <xf numFmtId="0" fontId="50" fillId="0" borderId="41" xfId="0" applyFont="1" applyBorder="1" applyAlignment="1">
      <alignment wrapText="1"/>
    </xf>
    <xf numFmtId="9" fontId="4" fillId="0" borderId="10" xfId="0" applyNumberFormat="1" applyFont="1" applyBorder="1" applyAlignment="1">
      <alignment vertical="center"/>
    </xf>
    <xf numFmtId="9" fontId="4" fillId="0" borderId="42" xfId="0" applyNumberFormat="1" applyFont="1" applyBorder="1" applyAlignment="1">
      <alignment vertical="center"/>
    </xf>
    <xf numFmtId="164" fontId="4" fillId="0" borderId="43" xfId="0" applyNumberFormat="1" applyFont="1" applyBorder="1" applyAlignment="1">
      <alignment vertical="center"/>
    </xf>
    <xf numFmtId="0" fontId="17" fillId="0" borderId="1" xfId="0" applyFont="1" applyBorder="1" applyAlignment="1">
      <alignment horizontal="center" wrapText="1"/>
    </xf>
    <xf numFmtId="9" fontId="4" fillId="0" borderId="44" xfId="0" applyNumberFormat="1" applyFont="1" applyBorder="1" applyAlignment="1">
      <alignment vertical="center"/>
    </xf>
    <xf numFmtId="9" fontId="4" fillId="0" borderId="45" xfId="0" applyNumberFormat="1" applyFont="1" applyBorder="1" applyAlignment="1">
      <alignment vertical="center"/>
    </xf>
    <xf numFmtId="0" fontId="17" fillId="7" borderId="0" xfId="0" applyFont="1" applyFill="1" applyAlignment="1">
      <alignment wrapText="1"/>
    </xf>
    <xf numFmtId="9" fontId="4" fillId="7" borderId="0" xfId="0" applyNumberFormat="1" applyFont="1" applyFill="1" applyAlignment="1">
      <alignment vertical="center"/>
    </xf>
    <xf numFmtId="0" fontId="15" fillId="7" borderId="0" xfId="0" applyFont="1" applyFill="1" applyAlignment="1">
      <alignment wrapText="1"/>
    </xf>
    <xf numFmtId="0" fontId="0" fillId="0" borderId="0" xfId="0" applyAlignment="1">
      <alignment vertical="top"/>
    </xf>
    <xf numFmtId="0" fontId="4" fillId="0" borderId="0" xfId="0" applyFont="1" applyAlignment="1">
      <alignment horizontal="left" vertical="top" wrapText="1" indent="2"/>
    </xf>
    <xf numFmtId="0" fontId="3" fillId="0" borderId="0" xfId="0" applyFont="1" applyAlignment="1">
      <alignment vertical="top" wrapText="1"/>
    </xf>
    <xf numFmtId="0" fontId="10" fillId="0" borderId="0" xfId="0" applyFont="1" applyAlignment="1">
      <alignment vertical="top" wrapText="1"/>
    </xf>
    <xf numFmtId="0" fontId="5" fillId="0" borderId="0" xfId="0" applyFont="1" applyAlignment="1">
      <alignment vertical="top" wrapText="1"/>
    </xf>
    <xf numFmtId="9" fontId="0" fillId="0" borderId="0" xfId="0" applyNumberFormat="1" applyAlignment="1">
      <alignment wrapText="1"/>
    </xf>
    <xf numFmtId="0" fontId="68" fillId="0" borderId="20" xfId="0" applyFont="1" applyBorder="1" applyAlignment="1">
      <alignment wrapText="1"/>
    </xf>
    <xf numFmtId="9" fontId="0" fillId="0" borderId="6" xfId="0" applyNumberFormat="1" applyBorder="1" applyAlignment="1">
      <alignment wrapText="1"/>
    </xf>
    <xf numFmtId="0" fontId="15" fillId="0" borderId="35" xfId="0" applyFont="1" applyBorder="1" applyAlignment="1">
      <alignment wrapText="1"/>
    </xf>
    <xf numFmtId="9" fontId="0" fillId="0" borderId="36" xfId="0" applyNumberFormat="1" applyBorder="1" applyAlignment="1">
      <alignment wrapText="1"/>
    </xf>
    <xf numFmtId="9" fontId="0" fillId="0" borderId="37" xfId="0" applyNumberFormat="1" applyBorder="1" applyAlignment="1">
      <alignment wrapText="1"/>
    </xf>
    <xf numFmtId="0" fontId="15" fillId="0" borderId="40" xfId="0" applyFont="1" applyBorder="1" applyAlignment="1">
      <alignment wrapText="1"/>
    </xf>
    <xf numFmtId="9" fontId="0" fillId="0" borderId="13" xfId="0" applyNumberFormat="1" applyBorder="1" applyAlignment="1">
      <alignment wrapText="1"/>
    </xf>
    <xf numFmtId="9" fontId="0" fillId="0" borderId="14" xfId="0" applyNumberFormat="1" applyBorder="1" applyAlignment="1">
      <alignment wrapText="1"/>
    </xf>
    <xf numFmtId="0" fontId="15" fillId="0" borderId="46" xfId="0" applyFont="1" applyBorder="1" applyAlignment="1">
      <alignment wrapText="1"/>
    </xf>
    <xf numFmtId="9" fontId="0" fillId="0" borderId="47" xfId="0" applyNumberFormat="1" applyBorder="1" applyAlignment="1">
      <alignment wrapText="1"/>
    </xf>
    <xf numFmtId="0" fontId="15" fillId="0" borderId="41" xfId="0" applyFont="1" applyBorder="1" applyAlignment="1">
      <alignment wrapText="1"/>
    </xf>
    <xf numFmtId="9" fontId="0" fillId="0" borderId="15" xfId="0" applyNumberFormat="1" applyBorder="1" applyAlignment="1">
      <alignment wrapText="1"/>
    </xf>
    <xf numFmtId="9" fontId="0" fillId="0" borderId="16" xfId="0" applyNumberFormat="1" applyBorder="1" applyAlignment="1">
      <alignment wrapText="1"/>
    </xf>
    <xf numFmtId="0" fontId="68" fillId="0" borderId="35" xfId="0" applyFont="1" applyBorder="1" applyAlignment="1">
      <alignment wrapText="1"/>
    </xf>
    <xf numFmtId="0" fontId="68" fillId="0" borderId="36" xfId="0" applyFont="1" applyBorder="1" applyAlignment="1">
      <alignment wrapText="1"/>
    </xf>
    <xf numFmtId="0" fontId="68" fillId="0" borderId="37" xfId="0" applyFont="1" applyBorder="1" applyAlignment="1">
      <alignment wrapText="1"/>
    </xf>
    <xf numFmtId="0" fontId="0" fillId="6" borderId="4" xfId="0" applyFill="1" applyBorder="1" applyAlignment="1">
      <alignment wrapText="1"/>
    </xf>
    <xf numFmtId="0" fontId="0" fillId="6" borderId="2" xfId="0" applyFill="1" applyBorder="1" applyAlignment="1">
      <alignment wrapText="1"/>
    </xf>
    <xf numFmtId="0" fontId="4" fillId="0" borderId="23" xfId="0" applyFont="1" applyBorder="1" applyAlignment="1">
      <alignment horizontal="left" vertical="top" wrapText="1" indent="2"/>
    </xf>
    <xf numFmtId="1" fontId="0" fillId="0" borderId="0" xfId="0" applyNumberFormat="1" applyAlignment="1">
      <alignment wrapText="1"/>
    </xf>
    <xf numFmtId="1" fontId="0" fillId="0" borderId="0" xfId="0" applyNumberFormat="1"/>
    <xf numFmtId="0" fontId="0" fillId="0" borderId="6" xfId="0" applyBorder="1" applyAlignment="1">
      <alignment wrapText="1"/>
    </xf>
    <xf numFmtId="0" fontId="15" fillId="0" borderId="6" xfId="0" applyFont="1" applyBorder="1" applyAlignment="1">
      <alignment wrapText="1"/>
    </xf>
    <xf numFmtId="1" fontId="0" fillId="0" borderId="6" xfId="0" applyNumberFormat="1" applyBorder="1" applyAlignment="1">
      <alignment wrapText="1"/>
    </xf>
    <xf numFmtId="0" fontId="0" fillId="6" borderId="6" xfId="0" applyFill="1" applyBorder="1" applyAlignment="1">
      <alignment wrapText="1"/>
    </xf>
    <xf numFmtId="0" fontId="71" fillId="0" borderId="0" xfId="0" applyFont="1" applyAlignment="1">
      <alignment wrapText="1"/>
    </xf>
    <xf numFmtId="9" fontId="0" fillId="6" borderId="0" xfId="0" applyNumberFormat="1" applyFill="1" applyAlignment="1">
      <alignment wrapText="1"/>
    </xf>
    <xf numFmtId="0" fontId="73" fillId="7" borderId="0" xfId="0" applyFont="1" applyFill="1" applyAlignment="1">
      <alignment wrapText="1"/>
    </xf>
    <xf numFmtId="0" fontId="72" fillId="0" borderId="4" xfId="0" applyFont="1" applyBorder="1" applyAlignment="1">
      <alignment horizontal="center" wrapText="1"/>
    </xf>
    <xf numFmtId="0" fontId="72" fillId="0" borderId="5" xfId="0" applyFont="1" applyBorder="1" applyAlignment="1">
      <alignment horizontal="center" wrapText="1"/>
    </xf>
    <xf numFmtId="0" fontId="72" fillId="0" borderId="2" xfId="0" applyFont="1" applyBorder="1" applyAlignment="1">
      <alignment horizontal="center" wrapText="1"/>
    </xf>
    <xf numFmtId="0" fontId="17" fillId="0" borderId="10" xfId="0" applyFont="1" applyBorder="1" applyAlignment="1">
      <alignment horizontal="center" wrapText="1"/>
    </xf>
    <xf numFmtId="0" fontId="17" fillId="0" borderId="12" xfId="0" applyFont="1" applyBorder="1" applyAlignment="1">
      <alignment horizontal="center" wrapText="1"/>
    </xf>
    <xf numFmtId="0" fontId="17" fillId="0" borderId="18" xfId="0" applyFont="1" applyBorder="1" applyAlignment="1">
      <alignment horizontal="center" wrapText="1"/>
    </xf>
    <xf numFmtId="0" fontId="17" fillId="0" borderId="17" xfId="0" applyFont="1" applyBorder="1" applyAlignment="1">
      <alignment horizontal="center" wrapText="1"/>
    </xf>
    <xf numFmtId="0" fontId="17" fillId="0" borderId="13" xfId="0" applyFont="1" applyBorder="1" applyAlignment="1">
      <alignment horizontal="center" wrapText="1"/>
    </xf>
    <xf numFmtId="0" fontId="74" fillId="0" borderId="1" xfId="0" applyFont="1" applyBorder="1" applyAlignment="1">
      <alignment horizontal="center" wrapText="1"/>
    </xf>
    <xf numFmtId="0" fontId="50" fillId="0" borderId="4" xfId="0" applyFont="1" applyBorder="1" applyAlignment="1">
      <alignment horizontal="center" wrapText="1"/>
    </xf>
    <xf numFmtId="0" fontId="50" fillId="0" borderId="5" xfId="0" applyFont="1" applyBorder="1" applyAlignment="1">
      <alignment horizontal="center" wrapText="1"/>
    </xf>
    <xf numFmtId="0" fontId="50" fillId="0" borderId="40" xfId="0" applyFont="1" applyBorder="1" applyAlignment="1">
      <alignment horizontal="center" wrapText="1"/>
    </xf>
    <xf numFmtId="0" fontId="50" fillId="0" borderId="13" xfId="0" applyFont="1" applyBorder="1" applyAlignment="1">
      <alignment horizontal="center" wrapText="1"/>
    </xf>
    <xf numFmtId="0" fontId="17" fillId="0" borderId="3" xfId="0" applyFont="1" applyBorder="1" applyAlignment="1">
      <alignment horizontal="center" wrapText="1"/>
    </xf>
    <xf numFmtId="0" fontId="17" fillId="0" borderId="33" xfId="0" applyFont="1" applyBorder="1" applyAlignment="1">
      <alignment horizontal="center" wrapText="1"/>
    </xf>
    <xf numFmtId="0" fontId="17" fillId="0" borderId="4" xfId="0" applyFont="1" applyBorder="1" applyAlignment="1">
      <alignment horizontal="center" wrapText="1"/>
    </xf>
    <xf numFmtId="0" fontId="17" fillId="0" borderId="5" xfId="0" applyFont="1" applyBorder="1" applyAlignment="1">
      <alignment horizontal="center" wrapText="1"/>
    </xf>
    <xf numFmtId="0" fontId="17" fillId="0" borderId="2" xfId="0" applyFont="1" applyBorder="1" applyAlignment="1">
      <alignment horizontal="center" wrapText="1"/>
    </xf>
    <xf numFmtId="0" fontId="17" fillId="7" borderId="0" xfId="0" applyFont="1" applyFill="1" applyAlignment="1">
      <alignment horizontal="center" wrapText="1"/>
    </xf>
  </cellXfs>
  <cellStyles count="6">
    <cellStyle name="Hyperlink" xfId="2" builtinId="8"/>
    <cellStyle name="Normal" xfId="0" builtinId="0"/>
    <cellStyle name="Normal 2" xfId="3" xr:uid="{806671D6-6A36-49D2-96EB-7B42DDEA6390}"/>
    <cellStyle name="Normal 3" xfId="4" xr:uid="{332625BD-810A-4FC9-A8F4-D1D12DB27561}"/>
    <cellStyle name="Percent" xfId="1" builtinId="5"/>
    <cellStyle name="Percent 2" xfId="5" xr:uid="{EE32D22D-14A2-4975-AA67-B369F8801802}"/>
  </cellStyles>
  <dxfs count="5">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00"/>
        </patternFill>
      </fill>
    </dxf>
  </dxfs>
  <tableStyles count="0" defaultTableStyle="TableStyleMedium2" defaultPivotStyle="PivotStyleLight16"/>
  <colors>
    <mruColors>
      <color rgb="FFFF9999"/>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ID4096"/>
        </a:p>
      </c:txPr>
    </c:title>
    <c:autoTitleDeleted val="0"/>
    <c:plotArea>
      <c:layout/>
      <c:barChart>
        <c:barDir val="col"/>
        <c:grouping val="clustered"/>
        <c:varyColors val="0"/>
        <c:ser>
          <c:idx val="0"/>
          <c:order val="0"/>
          <c:tx>
            <c:strRef>
              <c:f>Graphs!$B$1</c:f>
              <c:strCache>
                <c:ptCount val="1"/>
                <c:pt idx="0">
                  <c:v>% of actions with activities occuring / offered under each CSO</c:v>
                </c:pt>
              </c:strCache>
            </c:strRef>
          </c:tx>
          <c:spPr>
            <a:solidFill>
              <a:schemeClr val="accent1"/>
            </a:solidFill>
            <a:ln>
              <a:noFill/>
            </a:ln>
            <a:effectLst/>
          </c:spPr>
          <c:invertIfNegative val="0"/>
          <c:cat>
            <c:strRef>
              <c:f>Graphs!$A$2:$A$9</c:f>
              <c:strCache>
                <c:ptCount val="8"/>
                <c:pt idx="0">
                  <c:v>CSO1</c:v>
                </c:pt>
                <c:pt idx="1">
                  <c:v>CSO2</c:v>
                </c:pt>
                <c:pt idx="2">
                  <c:v>CSO3</c:v>
                </c:pt>
                <c:pt idx="3">
                  <c:v>CSO4</c:v>
                </c:pt>
                <c:pt idx="4">
                  <c:v>CSO5</c:v>
                </c:pt>
                <c:pt idx="5">
                  <c:v>CSO6</c:v>
                </c:pt>
                <c:pt idx="6">
                  <c:v>CSO7</c:v>
                </c:pt>
                <c:pt idx="7">
                  <c:v>All CSOs combined</c:v>
                </c:pt>
              </c:strCache>
            </c:strRef>
          </c:cat>
          <c:val>
            <c:numRef>
              <c:f>Graphs!$B$2:$B$9</c:f>
              <c:numCache>
                <c:formatCode>0.0%</c:formatCode>
                <c:ptCount val="8"/>
                <c:pt idx="0">
                  <c:v>0.56934306569343063</c:v>
                </c:pt>
                <c:pt idx="1">
                  <c:v>0.92452830188679247</c:v>
                </c:pt>
                <c:pt idx="2">
                  <c:v>0.81578947368421051</c:v>
                </c:pt>
                <c:pt idx="3">
                  <c:v>0.67272727272727273</c:v>
                </c:pt>
                <c:pt idx="4">
                  <c:v>0.79629629629629628</c:v>
                </c:pt>
                <c:pt idx="5">
                  <c:v>0.16</c:v>
                </c:pt>
                <c:pt idx="6">
                  <c:v>1</c:v>
                </c:pt>
                <c:pt idx="7">
                  <c:v>0.67302452316076289</c:v>
                </c:pt>
              </c:numCache>
            </c:numRef>
          </c:val>
          <c:extLst>
            <c:ext xmlns:c16="http://schemas.microsoft.com/office/drawing/2014/chart" uri="{C3380CC4-5D6E-409C-BE32-E72D297353CC}">
              <c16:uniqueId val="{00000000-0C42-43F1-9C2F-232A3A45DF2E}"/>
            </c:ext>
          </c:extLst>
        </c:ser>
        <c:dLbls>
          <c:showLegendKey val="0"/>
          <c:showVal val="0"/>
          <c:showCatName val="0"/>
          <c:showSerName val="0"/>
          <c:showPercent val="0"/>
          <c:showBubbleSize val="0"/>
        </c:dLbls>
        <c:gapWidth val="219"/>
        <c:overlap val="-27"/>
        <c:axId val="505581136"/>
        <c:axId val="505577528"/>
      </c:barChart>
      <c:catAx>
        <c:axId val="505581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ID4096"/>
          </a:p>
        </c:txPr>
        <c:crossAx val="505577528"/>
        <c:crosses val="autoZero"/>
        <c:auto val="1"/>
        <c:lblAlgn val="ctr"/>
        <c:lblOffset val="100"/>
        <c:noMultiLvlLbl val="0"/>
      </c:catAx>
      <c:valAx>
        <c:axId val="505577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ID4096"/>
          </a:p>
        </c:txPr>
        <c:crossAx val="505581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ID4096"/>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ID4096"/>
        </a:p>
      </c:txPr>
    </c:title>
    <c:autoTitleDeleted val="0"/>
    <c:plotArea>
      <c:layout/>
      <c:barChart>
        <c:barDir val="col"/>
        <c:grouping val="clustered"/>
        <c:varyColors val="0"/>
        <c:ser>
          <c:idx val="0"/>
          <c:order val="0"/>
          <c:tx>
            <c:strRef>
              <c:f>Graphs!$D$1</c:f>
              <c:strCache>
                <c:ptCount val="1"/>
                <c:pt idx="0">
                  <c:v>% of actions with no activity or service offered</c:v>
                </c:pt>
              </c:strCache>
            </c:strRef>
          </c:tx>
          <c:spPr>
            <a:solidFill>
              <a:schemeClr val="accent1"/>
            </a:solidFill>
            <a:ln>
              <a:noFill/>
            </a:ln>
            <a:effectLst/>
          </c:spPr>
          <c:invertIfNegative val="0"/>
          <c:cat>
            <c:strRef>
              <c:f>Graphs!$C$2:$C$9</c:f>
              <c:strCache>
                <c:ptCount val="8"/>
                <c:pt idx="0">
                  <c:v>CSO1</c:v>
                </c:pt>
                <c:pt idx="1">
                  <c:v>CSO2</c:v>
                </c:pt>
                <c:pt idx="2">
                  <c:v>CSO3</c:v>
                </c:pt>
                <c:pt idx="3">
                  <c:v>CSO4</c:v>
                </c:pt>
                <c:pt idx="4">
                  <c:v>CSO5</c:v>
                </c:pt>
                <c:pt idx="5">
                  <c:v>CSO6</c:v>
                </c:pt>
                <c:pt idx="6">
                  <c:v>CSO7</c:v>
                </c:pt>
                <c:pt idx="7">
                  <c:v>All CSOs combined</c:v>
                </c:pt>
              </c:strCache>
            </c:strRef>
          </c:cat>
          <c:val>
            <c:numRef>
              <c:f>Graphs!$D$2:$D$9</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402B-4492-B113-D38119644DF2}"/>
            </c:ext>
          </c:extLst>
        </c:ser>
        <c:dLbls>
          <c:showLegendKey val="0"/>
          <c:showVal val="0"/>
          <c:showCatName val="0"/>
          <c:showSerName val="0"/>
          <c:showPercent val="0"/>
          <c:showBubbleSize val="0"/>
        </c:dLbls>
        <c:gapWidth val="219"/>
        <c:overlap val="-27"/>
        <c:axId val="707307504"/>
        <c:axId val="707307832"/>
      </c:barChart>
      <c:catAx>
        <c:axId val="70730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ID4096"/>
          </a:p>
        </c:txPr>
        <c:crossAx val="707307832"/>
        <c:crosses val="autoZero"/>
        <c:auto val="1"/>
        <c:lblAlgn val="ctr"/>
        <c:lblOffset val="100"/>
        <c:noMultiLvlLbl val="0"/>
      </c:catAx>
      <c:valAx>
        <c:axId val="707307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ID4096"/>
          </a:p>
        </c:txPr>
        <c:crossAx val="707307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ID4096"/>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'Stakeholder Response Overview'!$B$19</c:f>
              <c:strCache>
                <c:ptCount val="1"/>
                <c:pt idx="0">
                  <c:v>REMPEC</c:v>
                </c:pt>
              </c:strCache>
            </c:strRef>
          </c:tx>
          <c:spPr>
            <a:solidFill>
              <a:schemeClr val="accent1"/>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Overview'!$B$20:$B$27</c:f>
              <c:numCache>
                <c:formatCode>0%</c:formatCode>
                <c:ptCount val="8"/>
                <c:pt idx="0">
                  <c:v>0.48888888888888887</c:v>
                </c:pt>
                <c:pt idx="1">
                  <c:v>0.75510204081632648</c:v>
                </c:pt>
                <c:pt idx="2">
                  <c:v>0.64864864864864868</c:v>
                </c:pt>
                <c:pt idx="3">
                  <c:v>0.41509433962264153</c:v>
                </c:pt>
                <c:pt idx="4">
                  <c:v>0.75471698113207553</c:v>
                </c:pt>
                <c:pt idx="5">
                  <c:v>0.31818181818181818</c:v>
                </c:pt>
                <c:pt idx="6">
                  <c:v>0.4</c:v>
                </c:pt>
                <c:pt idx="7">
                  <c:v>0.56957928802588997</c:v>
                </c:pt>
              </c:numCache>
            </c:numRef>
          </c:val>
          <c:extLst>
            <c:ext xmlns:c16="http://schemas.microsoft.com/office/drawing/2014/chart" uri="{C3380CC4-5D6E-409C-BE32-E72D297353CC}">
              <c16:uniqueId val="{00000000-FC5E-40C6-B732-644A8123322D}"/>
            </c:ext>
          </c:extLst>
        </c:ser>
        <c:ser>
          <c:idx val="1"/>
          <c:order val="1"/>
          <c:tx>
            <c:strRef>
              <c:f>'Stakeholder Response Overview'!$C$19</c:f>
              <c:strCache>
                <c:ptCount val="1"/>
                <c:pt idx="0">
                  <c:v>EMSA</c:v>
                </c:pt>
              </c:strCache>
            </c:strRef>
          </c:tx>
          <c:spPr>
            <a:solidFill>
              <a:schemeClr val="accent2"/>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Overview'!$C$20:$C$27</c:f>
              <c:numCache>
                <c:formatCode>0%</c:formatCode>
                <c:ptCount val="8"/>
                <c:pt idx="0">
                  <c:v>0.51111111111111107</c:v>
                </c:pt>
                <c:pt idx="1">
                  <c:v>0.22448979591836735</c:v>
                </c:pt>
                <c:pt idx="2">
                  <c:v>0.24324324324324326</c:v>
                </c:pt>
                <c:pt idx="3">
                  <c:v>5.6603773584905662E-2</c:v>
                </c:pt>
                <c:pt idx="4">
                  <c:v>5.6603773584905662E-2</c:v>
                </c:pt>
                <c:pt idx="5">
                  <c:v>4.5454545454545456E-2</c:v>
                </c:pt>
                <c:pt idx="6">
                  <c:v>0</c:v>
                </c:pt>
                <c:pt idx="7">
                  <c:v>0.23624595469255663</c:v>
                </c:pt>
              </c:numCache>
            </c:numRef>
          </c:val>
          <c:extLst>
            <c:ext xmlns:c16="http://schemas.microsoft.com/office/drawing/2014/chart" uri="{C3380CC4-5D6E-409C-BE32-E72D297353CC}">
              <c16:uniqueId val="{00000001-FC5E-40C6-B732-644A8123322D}"/>
            </c:ext>
          </c:extLst>
        </c:ser>
        <c:ser>
          <c:idx val="2"/>
          <c:order val="2"/>
          <c:tx>
            <c:strRef>
              <c:f>'Stakeholder Response Overview'!$D$19</c:f>
              <c:strCache>
                <c:ptCount val="1"/>
                <c:pt idx="0">
                  <c:v>CEDRE</c:v>
                </c:pt>
              </c:strCache>
            </c:strRef>
          </c:tx>
          <c:spPr>
            <a:solidFill>
              <a:schemeClr val="accent3"/>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Overview'!$D$20:$D$27</c:f>
              <c:numCache>
                <c:formatCode>0%</c:formatCode>
                <c:ptCount val="8"/>
                <c:pt idx="0">
                  <c:v>0.17777777777777778</c:v>
                </c:pt>
                <c:pt idx="1">
                  <c:v>0</c:v>
                </c:pt>
                <c:pt idx="2">
                  <c:v>0</c:v>
                </c:pt>
                <c:pt idx="3">
                  <c:v>7.5471698113207544E-2</c:v>
                </c:pt>
                <c:pt idx="4">
                  <c:v>0</c:v>
                </c:pt>
                <c:pt idx="5">
                  <c:v>0</c:v>
                </c:pt>
                <c:pt idx="6">
                  <c:v>0</c:v>
                </c:pt>
                <c:pt idx="7">
                  <c:v>6.4724919093851127E-2</c:v>
                </c:pt>
              </c:numCache>
            </c:numRef>
          </c:val>
          <c:extLst>
            <c:ext xmlns:c16="http://schemas.microsoft.com/office/drawing/2014/chart" uri="{C3380CC4-5D6E-409C-BE32-E72D297353CC}">
              <c16:uniqueId val="{00000002-FC5E-40C6-B732-644A8123322D}"/>
            </c:ext>
          </c:extLst>
        </c:ser>
        <c:ser>
          <c:idx val="3"/>
          <c:order val="3"/>
          <c:tx>
            <c:strRef>
              <c:f>'Stakeholder Response Overview'!$E$19</c:f>
              <c:strCache>
                <c:ptCount val="1"/>
                <c:pt idx="0">
                  <c:v>UfM</c:v>
                </c:pt>
              </c:strCache>
            </c:strRef>
          </c:tx>
          <c:spPr>
            <a:solidFill>
              <a:schemeClr val="accent4"/>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Overview'!$E$20:$E$27</c:f>
              <c:numCache>
                <c:formatCode>0%</c:formatCode>
                <c:ptCount val="8"/>
                <c:pt idx="0">
                  <c:v>3.3333333333333333E-2</c:v>
                </c:pt>
                <c:pt idx="1">
                  <c:v>4.0816326530612242E-2</c:v>
                </c:pt>
                <c:pt idx="2">
                  <c:v>5.4054054054054057E-2</c:v>
                </c:pt>
                <c:pt idx="3">
                  <c:v>0.18867924528301888</c:v>
                </c:pt>
                <c:pt idx="4">
                  <c:v>0</c:v>
                </c:pt>
                <c:pt idx="5">
                  <c:v>4.5454545454545456E-2</c:v>
                </c:pt>
                <c:pt idx="6">
                  <c:v>0</c:v>
                </c:pt>
                <c:pt idx="7">
                  <c:v>5.8252427184466021E-2</c:v>
                </c:pt>
              </c:numCache>
            </c:numRef>
          </c:val>
          <c:extLst>
            <c:ext xmlns:c16="http://schemas.microsoft.com/office/drawing/2014/chart" uri="{C3380CC4-5D6E-409C-BE32-E72D297353CC}">
              <c16:uniqueId val="{00000003-FC5E-40C6-B732-644A8123322D}"/>
            </c:ext>
          </c:extLst>
        </c:ser>
        <c:ser>
          <c:idx val="4"/>
          <c:order val="4"/>
          <c:tx>
            <c:strRef>
              <c:f>'Stakeholder Response Overview'!$F$19</c:f>
              <c:strCache>
                <c:ptCount val="1"/>
                <c:pt idx="0">
                  <c:v>OSRL</c:v>
                </c:pt>
              </c:strCache>
            </c:strRef>
          </c:tx>
          <c:spPr>
            <a:solidFill>
              <a:schemeClr val="accent5"/>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Overview'!$F$20:$F$27</c:f>
              <c:numCache>
                <c:formatCode>0%</c:formatCode>
                <c:ptCount val="8"/>
                <c:pt idx="0">
                  <c:v>3.3333333333333333E-2</c:v>
                </c:pt>
                <c:pt idx="1">
                  <c:v>0</c:v>
                </c:pt>
                <c:pt idx="2">
                  <c:v>0</c:v>
                </c:pt>
                <c:pt idx="3">
                  <c:v>0</c:v>
                </c:pt>
                <c:pt idx="4">
                  <c:v>0</c:v>
                </c:pt>
                <c:pt idx="5">
                  <c:v>0</c:v>
                </c:pt>
                <c:pt idx="6">
                  <c:v>0</c:v>
                </c:pt>
                <c:pt idx="7">
                  <c:v>9.7087378640776691E-3</c:v>
                </c:pt>
              </c:numCache>
            </c:numRef>
          </c:val>
          <c:extLst>
            <c:ext xmlns:c16="http://schemas.microsoft.com/office/drawing/2014/chart" uri="{C3380CC4-5D6E-409C-BE32-E72D297353CC}">
              <c16:uniqueId val="{00000004-FC5E-40C6-B732-644A8123322D}"/>
            </c:ext>
          </c:extLst>
        </c:ser>
        <c:ser>
          <c:idx val="5"/>
          <c:order val="5"/>
          <c:tx>
            <c:strRef>
              <c:f>'Stakeholder Response Overview'!$G$19</c:f>
              <c:strCache>
                <c:ptCount val="1"/>
                <c:pt idx="0">
                  <c:v>Federchimica</c:v>
                </c:pt>
              </c:strCache>
            </c:strRef>
          </c:tx>
          <c:spPr>
            <a:solidFill>
              <a:schemeClr val="accent6"/>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Overview'!$G$20:$G$27</c:f>
              <c:numCache>
                <c:formatCode>0%</c:formatCode>
                <c:ptCount val="8"/>
                <c:pt idx="0">
                  <c:v>0</c:v>
                </c:pt>
                <c:pt idx="1">
                  <c:v>0</c:v>
                </c:pt>
                <c:pt idx="2">
                  <c:v>2.7027027027027029E-2</c:v>
                </c:pt>
                <c:pt idx="3">
                  <c:v>1.8867924528301886E-2</c:v>
                </c:pt>
                <c:pt idx="4">
                  <c:v>0</c:v>
                </c:pt>
                <c:pt idx="5">
                  <c:v>0</c:v>
                </c:pt>
                <c:pt idx="6">
                  <c:v>0</c:v>
                </c:pt>
                <c:pt idx="7">
                  <c:v>6.4724919093851136E-3</c:v>
                </c:pt>
              </c:numCache>
            </c:numRef>
          </c:val>
          <c:extLst>
            <c:ext xmlns:c16="http://schemas.microsoft.com/office/drawing/2014/chart" uri="{C3380CC4-5D6E-409C-BE32-E72D297353CC}">
              <c16:uniqueId val="{00000005-FC5E-40C6-B732-644A8123322D}"/>
            </c:ext>
          </c:extLst>
        </c:ser>
        <c:ser>
          <c:idx val="6"/>
          <c:order val="6"/>
          <c:tx>
            <c:strRef>
              <c:f>'Stakeholder Response Overview'!$H$19</c:f>
              <c:strCache>
                <c:ptCount val="1"/>
                <c:pt idx="0">
                  <c:v>IOI</c:v>
                </c:pt>
              </c:strCache>
            </c:strRef>
          </c:tx>
          <c:spPr>
            <a:solidFill>
              <a:schemeClr val="accent1">
                <a:lumMod val="60000"/>
              </a:schemeClr>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Overview'!$H$20:$H$27</c:f>
              <c:numCache>
                <c:formatCode>0%</c:formatCode>
                <c:ptCount val="8"/>
                <c:pt idx="0">
                  <c:v>0</c:v>
                </c:pt>
                <c:pt idx="1">
                  <c:v>0</c:v>
                </c:pt>
                <c:pt idx="2">
                  <c:v>2.7027027027027029E-2</c:v>
                </c:pt>
                <c:pt idx="3">
                  <c:v>1.8867924528301886E-2</c:v>
                </c:pt>
                <c:pt idx="4">
                  <c:v>0</c:v>
                </c:pt>
                <c:pt idx="5">
                  <c:v>0</c:v>
                </c:pt>
                <c:pt idx="6">
                  <c:v>0</c:v>
                </c:pt>
                <c:pt idx="7">
                  <c:v>6.4724919093851136E-3</c:v>
                </c:pt>
              </c:numCache>
            </c:numRef>
          </c:val>
          <c:extLst>
            <c:ext xmlns:c16="http://schemas.microsoft.com/office/drawing/2014/chart" uri="{C3380CC4-5D6E-409C-BE32-E72D297353CC}">
              <c16:uniqueId val="{00000006-FC5E-40C6-B732-644A8123322D}"/>
            </c:ext>
          </c:extLst>
        </c:ser>
        <c:ser>
          <c:idx val="7"/>
          <c:order val="7"/>
          <c:tx>
            <c:strRef>
              <c:f>'Stakeholder Response Overview'!$I$19</c:f>
              <c:strCache>
                <c:ptCount val="1"/>
                <c:pt idx="0">
                  <c:v>PAM</c:v>
                </c:pt>
              </c:strCache>
            </c:strRef>
          </c:tx>
          <c:spPr>
            <a:solidFill>
              <a:schemeClr val="accent2">
                <a:lumMod val="60000"/>
              </a:schemeClr>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Overview'!$I$20:$I$27</c:f>
              <c:numCache>
                <c:formatCode>0%</c:formatCode>
                <c:ptCount val="8"/>
                <c:pt idx="0">
                  <c:v>0</c:v>
                </c:pt>
                <c:pt idx="1">
                  <c:v>2.0408163265306121E-2</c:v>
                </c:pt>
                <c:pt idx="2">
                  <c:v>0</c:v>
                </c:pt>
                <c:pt idx="3">
                  <c:v>1.8867924528301886E-2</c:v>
                </c:pt>
                <c:pt idx="4">
                  <c:v>0</c:v>
                </c:pt>
                <c:pt idx="5">
                  <c:v>0</c:v>
                </c:pt>
                <c:pt idx="6">
                  <c:v>0</c:v>
                </c:pt>
                <c:pt idx="7">
                  <c:v>6.4724919093851136E-3</c:v>
                </c:pt>
              </c:numCache>
            </c:numRef>
          </c:val>
          <c:extLst>
            <c:ext xmlns:c16="http://schemas.microsoft.com/office/drawing/2014/chart" uri="{C3380CC4-5D6E-409C-BE32-E72D297353CC}">
              <c16:uniqueId val="{00000007-FC5E-40C6-B732-644A8123322D}"/>
            </c:ext>
          </c:extLst>
        </c:ser>
        <c:ser>
          <c:idx val="8"/>
          <c:order val="8"/>
          <c:tx>
            <c:strRef>
              <c:f>'Stakeholder Response Overview'!$J$19</c:f>
              <c:strCache>
                <c:ptCount val="1"/>
                <c:pt idx="0">
                  <c:v>CLIA</c:v>
                </c:pt>
              </c:strCache>
            </c:strRef>
          </c:tx>
          <c:spPr>
            <a:solidFill>
              <a:schemeClr val="accent3">
                <a:lumMod val="60000"/>
              </a:schemeClr>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Overview'!$J$20:$J$27</c:f>
              <c:numCache>
                <c:formatCode>0%</c:formatCode>
                <c:ptCount val="8"/>
                <c:pt idx="0">
                  <c:v>7.7777777777777779E-2</c:v>
                </c:pt>
                <c:pt idx="1">
                  <c:v>8.1632653061224483E-2</c:v>
                </c:pt>
                <c:pt idx="2">
                  <c:v>0</c:v>
                </c:pt>
                <c:pt idx="3">
                  <c:v>1.8867924528301886E-2</c:v>
                </c:pt>
                <c:pt idx="4">
                  <c:v>1.8867924528301886E-2</c:v>
                </c:pt>
                <c:pt idx="5">
                  <c:v>0</c:v>
                </c:pt>
                <c:pt idx="6">
                  <c:v>0</c:v>
                </c:pt>
                <c:pt idx="7">
                  <c:v>4.2071197411003236E-2</c:v>
                </c:pt>
              </c:numCache>
            </c:numRef>
          </c:val>
          <c:extLst>
            <c:ext xmlns:c16="http://schemas.microsoft.com/office/drawing/2014/chart" uri="{C3380CC4-5D6E-409C-BE32-E72D297353CC}">
              <c16:uniqueId val="{00000008-FC5E-40C6-B732-644A8123322D}"/>
            </c:ext>
          </c:extLst>
        </c:ser>
        <c:ser>
          <c:idx val="9"/>
          <c:order val="9"/>
          <c:tx>
            <c:strRef>
              <c:f>'Stakeholder Response Overview'!$K$19</c:f>
              <c:strCache>
                <c:ptCount val="1"/>
                <c:pt idx="0">
                  <c:v>IPIECA</c:v>
                </c:pt>
              </c:strCache>
            </c:strRef>
          </c:tx>
          <c:spPr>
            <a:solidFill>
              <a:schemeClr val="accent4">
                <a:lumMod val="60000"/>
              </a:schemeClr>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Overview'!$K$20:$K$27</c:f>
              <c:numCache>
                <c:formatCode>0%</c:formatCode>
                <c:ptCount val="8"/>
                <c:pt idx="0">
                  <c:v>5.5555555555555552E-2</c:v>
                </c:pt>
                <c:pt idx="1">
                  <c:v>6.1224489795918366E-2</c:v>
                </c:pt>
                <c:pt idx="2">
                  <c:v>8.1081081081081086E-2</c:v>
                </c:pt>
                <c:pt idx="3">
                  <c:v>1.8867924528301886E-2</c:v>
                </c:pt>
                <c:pt idx="4">
                  <c:v>5.6603773584905662E-2</c:v>
                </c:pt>
                <c:pt idx="5">
                  <c:v>9.0909090909090912E-2</c:v>
                </c:pt>
                <c:pt idx="6">
                  <c:v>0</c:v>
                </c:pt>
                <c:pt idx="7">
                  <c:v>5.5016181229773461E-2</c:v>
                </c:pt>
              </c:numCache>
            </c:numRef>
          </c:val>
          <c:extLst>
            <c:ext xmlns:c16="http://schemas.microsoft.com/office/drawing/2014/chart" uri="{C3380CC4-5D6E-409C-BE32-E72D297353CC}">
              <c16:uniqueId val="{00000009-FC5E-40C6-B732-644A8123322D}"/>
            </c:ext>
          </c:extLst>
        </c:ser>
        <c:ser>
          <c:idx val="10"/>
          <c:order val="10"/>
          <c:tx>
            <c:strRef>
              <c:f>'Stakeholder Response Overview'!$L$19</c:f>
              <c:strCache>
                <c:ptCount val="1"/>
                <c:pt idx="0">
                  <c:v>Med Cruise</c:v>
                </c:pt>
              </c:strCache>
            </c:strRef>
          </c:tx>
          <c:spPr>
            <a:solidFill>
              <a:schemeClr val="accent5">
                <a:lumMod val="60000"/>
              </a:schemeClr>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Overview'!$L$20:$L$27</c:f>
              <c:numCache>
                <c:formatCode>0%</c:formatCode>
                <c:ptCount val="8"/>
                <c:pt idx="0">
                  <c:v>0</c:v>
                </c:pt>
                <c:pt idx="1">
                  <c:v>6.1224489795918366E-2</c:v>
                </c:pt>
                <c:pt idx="2">
                  <c:v>0</c:v>
                </c:pt>
                <c:pt idx="3">
                  <c:v>0</c:v>
                </c:pt>
                <c:pt idx="4">
                  <c:v>0</c:v>
                </c:pt>
                <c:pt idx="5">
                  <c:v>0</c:v>
                </c:pt>
                <c:pt idx="6">
                  <c:v>0</c:v>
                </c:pt>
                <c:pt idx="7">
                  <c:v>9.7087378640776691E-3</c:v>
                </c:pt>
              </c:numCache>
            </c:numRef>
          </c:val>
          <c:extLst>
            <c:ext xmlns:c16="http://schemas.microsoft.com/office/drawing/2014/chart" uri="{C3380CC4-5D6E-409C-BE32-E72D297353CC}">
              <c16:uniqueId val="{0000000A-FC5E-40C6-B732-644A8123322D}"/>
            </c:ext>
          </c:extLst>
        </c:ser>
        <c:ser>
          <c:idx val="11"/>
          <c:order val="11"/>
          <c:tx>
            <c:strRef>
              <c:f>'Stakeholder Response Overview'!$M$19</c:f>
              <c:strCache>
                <c:ptCount val="1"/>
                <c:pt idx="0">
                  <c:v>WestMed</c:v>
                </c:pt>
              </c:strCache>
            </c:strRef>
          </c:tx>
          <c:spPr>
            <a:solidFill>
              <a:schemeClr val="accent6">
                <a:lumMod val="60000"/>
              </a:schemeClr>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Overview'!$M$20:$M$27</c:f>
              <c:numCache>
                <c:formatCode>0%</c:formatCode>
                <c:ptCount val="8"/>
                <c:pt idx="0">
                  <c:v>4.4444444444444446E-2</c:v>
                </c:pt>
                <c:pt idx="1">
                  <c:v>0.2857142857142857</c:v>
                </c:pt>
                <c:pt idx="2">
                  <c:v>0.16216216216216217</c:v>
                </c:pt>
                <c:pt idx="3">
                  <c:v>0.16981132075471697</c:v>
                </c:pt>
                <c:pt idx="4">
                  <c:v>5.6603773584905662E-2</c:v>
                </c:pt>
                <c:pt idx="5">
                  <c:v>4.5454545454545456E-2</c:v>
                </c:pt>
                <c:pt idx="6">
                  <c:v>0.2</c:v>
                </c:pt>
                <c:pt idx="7">
                  <c:v>0.12297734627831715</c:v>
                </c:pt>
              </c:numCache>
            </c:numRef>
          </c:val>
          <c:extLst>
            <c:ext xmlns:c16="http://schemas.microsoft.com/office/drawing/2014/chart" uri="{C3380CC4-5D6E-409C-BE32-E72D297353CC}">
              <c16:uniqueId val="{0000000B-FC5E-40C6-B732-644A8123322D}"/>
            </c:ext>
          </c:extLst>
        </c:ser>
        <c:ser>
          <c:idx val="12"/>
          <c:order val="12"/>
          <c:tx>
            <c:strRef>
              <c:f>'Stakeholder Response Overview'!$N$19</c:f>
              <c:strCache>
                <c:ptCount val="1"/>
                <c:pt idx="0">
                  <c:v>OC</c:v>
                </c:pt>
              </c:strCache>
            </c:strRef>
          </c:tx>
          <c:spPr>
            <a:solidFill>
              <a:schemeClr val="accent1">
                <a:lumMod val="80000"/>
                <a:lumOff val="20000"/>
              </a:schemeClr>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Overview'!$N$20:$N$27</c:f>
              <c:numCache>
                <c:formatCode>0%</c:formatCode>
                <c:ptCount val="8"/>
                <c:pt idx="0">
                  <c:v>0</c:v>
                </c:pt>
                <c:pt idx="1">
                  <c:v>0</c:v>
                </c:pt>
                <c:pt idx="2">
                  <c:v>0</c:v>
                </c:pt>
                <c:pt idx="3">
                  <c:v>0.16981132075471697</c:v>
                </c:pt>
                <c:pt idx="4">
                  <c:v>0</c:v>
                </c:pt>
                <c:pt idx="5">
                  <c:v>0</c:v>
                </c:pt>
                <c:pt idx="6">
                  <c:v>0.6</c:v>
                </c:pt>
                <c:pt idx="7">
                  <c:v>3.8834951456310676E-2</c:v>
                </c:pt>
              </c:numCache>
            </c:numRef>
          </c:val>
          <c:extLst>
            <c:ext xmlns:c16="http://schemas.microsoft.com/office/drawing/2014/chart" uri="{C3380CC4-5D6E-409C-BE32-E72D297353CC}">
              <c16:uniqueId val="{0000000C-FC5E-40C6-B732-644A8123322D}"/>
            </c:ext>
          </c:extLst>
        </c:ser>
        <c:ser>
          <c:idx val="13"/>
          <c:order val="13"/>
          <c:tx>
            <c:strRef>
              <c:f>'Stakeholder Response Overview'!$O$19</c:f>
              <c:strCache>
                <c:ptCount val="1"/>
                <c:pt idx="0">
                  <c:v>Sea Alarm</c:v>
                </c:pt>
              </c:strCache>
            </c:strRef>
          </c:tx>
          <c:spPr>
            <a:solidFill>
              <a:schemeClr val="accent2">
                <a:lumMod val="80000"/>
                <a:lumOff val="20000"/>
              </a:schemeClr>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Overview'!$O$20:$O$27</c:f>
              <c:numCache>
                <c:formatCode>0%</c:formatCode>
                <c:ptCount val="8"/>
                <c:pt idx="0">
                  <c:v>3.3333333333333333E-2</c:v>
                </c:pt>
                <c:pt idx="1">
                  <c:v>0</c:v>
                </c:pt>
                <c:pt idx="2">
                  <c:v>0</c:v>
                </c:pt>
                <c:pt idx="3">
                  <c:v>0</c:v>
                </c:pt>
                <c:pt idx="4">
                  <c:v>0</c:v>
                </c:pt>
                <c:pt idx="5">
                  <c:v>0</c:v>
                </c:pt>
                <c:pt idx="6">
                  <c:v>0</c:v>
                </c:pt>
                <c:pt idx="7">
                  <c:v>9.7087378640776691E-3</c:v>
                </c:pt>
              </c:numCache>
            </c:numRef>
          </c:val>
          <c:extLst>
            <c:ext xmlns:c16="http://schemas.microsoft.com/office/drawing/2014/chart" uri="{C3380CC4-5D6E-409C-BE32-E72D297353CC}">
              <c16:uniqueId val="{0000000D-FC5E-40C6-B732-644A8123322D}"/>
            </c:ext>
          </c:extLst>
        </c:ser>
        <c:ser>
          <c:idx val="14"/>
          <c:order val="14"/>
          <c:tx>
            <c:strRef>
              <c:f>'Stakeholder Response Overview'!$P$19</c:f>
              <c:strCache>
                <c:ptCount val="1"/>
                <c:pt idx="0">
                  <c:v>ITOPF</c:v>
                </c:pt>
              </c:strCache>
            </c:strRef>
          </c:tx>
          <c:spPr>
            <a:solidFill>
              <a:schemeClr val="accent3">
                <a:lumMod val="80000"/>
                <a:lumOff val="20000"/>
              </a:schemeClr>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Overview'!$P$20:$P$27</c:f>
              <c:numCache>
                <c:formatCode>0%</c:formatCode>
                <c:ptCount val="8"/>
                <c:pt idx="0">
                  <c:v>0.1111111111111111</c:v>
                </c:pt>
                <c:pt idx="1">
                  <c:v>0</c:v>
                </c:pt>
                <c:pt idx="2">
                  <c:v>0</c:v>
                </c:pt>
                <c:pt idx="3">
                  <c:v>0</c:v>
                </c:pt>
                <c:pt idx="4">
                  <c:v>0</c:v>
                </c:pt>
                <c:pt idx="5">
                  <c:v>0</c:v>
                </c:pt>
                <c:pt idx="6">
                  <c:v>0</c:v>
                </c:pt>
                <c:pt idx="7">
                  <c:v>3.2362459546925564E-2</c:v>
                </c:pt>
              </c:numCache>
            </c:numRef>
          </c:val>
          <c:extLst>
            <c:ext xmlns:c16="http://schemas.microsoft.com/office/drawing/2014/chart" uri="{C3380CC4-5D6E-409C-BE32-E72D297353CC}">
              <c16:uniqueId val="{0000000E-FC5E-40C6-B732-644A8123322D}"/>
            </c:ext>
          </c:extLst>
        </c:ser>
        <c:dLbls>
          <c:showLegendKey val="0"/>
          <c:showVal val="0"/>
          <c:showCatName val="0"/>
          <c:showSerName val="0"/>
          <c:showPercent val="0"/>
          <c:showBubbleSize val="0"/>
        </c:dLbls>
        <c:gapWidth val="219"/>
        <c:overlap val="-27"/>
        <c:axId val="701732256"/>
        <c:axId val="701728976"/>
      </c:barChart>
      <c:catAx>
        <c:axId val="7017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ID4096"/>
          </a:p>
        </c:txPr>
        <c:crossAx val="701728976"/>
        <c:crosses val="autoZero"/>
        <c:auto val="1"/>
        <c:lblAlgn val="ctr"/>
        <c:lblOffset val="100"/>
        <c:noMultiLvlLbl val="0"/>
      </c:catAx>
      <c:valAx>
        <c:axId val="701728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ID4096"/>
          </a:p>
        </c:txPr>
        <c:crossAx val="701732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ID4096"/>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ID4096"/>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352424</xdr:colOff>
      <xdr:row>14</xdr:row>
      <xdr:rowOff>76200</xdr:rowOff>
    </xdr:from>
    <xdr:to>
      <xdr:col>5</xdr:col>
      <xdr:colOff>76199</xdr:colOff>
      <xdr:row>29</xdr:row>
      <xdr:rowOff>60325</xdr:rowOff>
    </xdr:to>
    <xdr:graphicFrame macro="">
      <xdr:nvGraphicFramePr>
        <xdr:cNvPr id="2" name="Chart 1">
          <a:extLst>
            <a:ext uri="{FF2B5EF4-FFF2-40B4-BE49-F238E27FC236}">
              <a16:creationId xmlns:a16="http://schemas.microsoft.com/office/drawing/2014/main" id="{34F87DA6-0F39-1437-7168-8BFF11C3C6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400050</xdr:colOff>
      <xdr:row>13</xdr:row>
      <xdr:rowOff>71437</xdr:rowOff>
    </xdr:from>
    <xdr:to>
      <xdr:col>13</xdr:col>
      <xdr:colOff>95250</xdr:colOff>
      <xdr:row>27</xdr:row>
      <xdr:rowOff>147637</xdr:rowOff>
    </xdr:to>
    <xdr:graphicFrame macro="">
      <xdr:nvGraphicFramePr>
        <xdr:cNvPr id="4" name="Chart 3">
          <a:extLst>
            <a:ext uri="{FF2B5EF4-FFF2-40B4-BE49-F238E27FC236}">
              <a16:creationId xmlns:a16="http://schemas.microsoft.com/office/drawing/2014/main" id="{1F23138C-CE7A-FD71-740F-32520DBB4F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1220108</xdr:colOff>
      <xdr:row>28</xdr:row>
      <xdr:rowOff>125186</xdr:rowOff>
    </xdr:from>
    <xdr:to>
      <xdr:col>10</xdr:col>
      <xdr:colOff>1259568</xdr:colOff>
      <xdr:row>42</xdr:row>
      <xdr:rowOff>137886</xdr:rowOff>
    </xdr:to>
    <xdr:graphicFrame macro="">
      <xdr:nvGraphicFramePr>
        <xdr:cNvPr id="2" name="Chart 1">
          <a:extLst>
            <a:ext uri="{FF2B5EF4-FFF2-40B4-BE49-F238E27FC236}">
              <a16:creationId xmlns:a16="http://schemas.microsoft.com/office/drawing/2014/main" id="{198FC468-E7EE-4356-89CB-68ACA2A490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imappilot.info-rac.org/app/" TargetMode="External"/><Relationship Id="rId1" Type="http://schemas.openxmlformats.org/officeDocument/2006/relationships/hyperlink" Target="http://imappilot.info-rac.org/app/"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80B6F-9646-4B67-8F34-CE50FE9BD94C}">
  <dimension ref="A1:HA880"/>
  <sheetViews>
    <sheetView tabSelected="1" topLeftCell="F1" zoomScale="60" zoomScaleNormal="60" workbookViewId="0">
      <selection activeCell="AH4" sqref="AH4"/>
    </sheetView>
  </sheetViews>
  <sheetFormatPr defaultColWidth="9.140625" defaultRowHeight="62.25" customHeight="1"/>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hidden="1" customWidth="1"/>
    <col min="12" max="13" width="16.140625" style="1" hidden="1" customWidth="1"/>
    <col min="14" max="14" width="20.5703125" style="1" hidden="1" customWidth="1"/>
    <col min="15" max="15" width="19.85546875" style="1" hidden="1" customWidth="1"/>
    <col min="16" max="16" width="20.85546875" style="1" hidden="1" customWidth="1"/>
    <col min="17" max="17" width="9.140625" style="46" hidden="1" customWidth="1"/>
    <col min="18" max="26" width="14.140625" style="26" hidden="1" customWidth="1"/>
    <col min="27" max="27" width="20.42578125" style="1" hidden="1" customWidth="1"/>
    <col min="28" max="28" width="20.42578125" style="26" hidden="1" customWidth="1"/>
    <col min="29" max="29" width="14" style="314" bestFit="1" customWidth="1"/>
    <col min="30" max="30" width="17.140625" style="314" customWidth="1"/>
    <col min="31" max="31" width="13.28515625" style="157" customWidth="1"/>
    <col min="32" max="32" width="12.42578125" style="157" customWidth="1"/>
    <col min="33" max="33" width="9.7109375" style="157" customWidth="1"/>
    <col min="34" max="34" width="14.28515625" style="520" bestFit="1" customWidth="1"/>
    <col min="35" max="35" width="14.5703125" style="157" bestFit="1" customWidth="1"/>
    <col min="36" max="36" width="16.85546875" style="26" customWidth="1"/>
    <col min="37" max="37" width="15.28515625" style="26" hidden="1" customWidth="1"/>
    <col min="38" max="38" width="21.28515625" style="26" customWidth="1"/>
    <col min="39" max="42" width="0" style="26" hidden="1" customWidth="1"/>
    <col min="43" max="50" width="0" style="1" hidden="1" customWidth="1"/>
    <col min="51" max="16384" width="9.140625" style="1"/>
  </cols>
  <sheetData>
    <row r="1" spans="1:209" s="26" customFormat="1" ht="62.25" customHeight="1">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544"/>
      <c r="R1" s="7" t="s">
        <v>44</v>
      </c>
      <c r="S1" s="7" t="s">
        <v>45</v>
      </c>
      <c r="T1" s="7" t="s">
        <v>46</v>
      </c>
      <c r="U1" s="7" t="s">
        <v>47</v>
      </c>
      <c r="V1" s="7" t="s">
        <v>48</v>
      </c>
      <c r="W1" s="7" t="s">
        <v>39</v>
      </c>
      <c r="X1" s="7" t="s">
        <v>49</v>
      </c>
      <c r="Y1" s="7" t="s">
        <v>50</v>
      </c>
      <c r="Z1" s="7" t="s">
        <v>51</v>
      </c>
      <c r="AA1" s="7" t="s">
        <v>43</v>
      </c>
      <c r="AB1" s="545"/>
      <c r="AC1" s="499" t="s">
        <v>2588</v>
      </c>
      <c r="AD1" s="499" t="s">
        <v>1331</v>
      </c>
      <c r="AE1" s="7" t="s">
        <v>3963</v>
      </c>
      <c r="AF1" s="7" t="s">
        <v>3965</v>
      </c>
      <c r="AG1" s="7" t="s">
        <v>3974</v>
      </c>
      <c r="AH1" s="7" t="s">
        <v>3964</v>
      </c>
      <c r="AI1" s="7" t="s">
        <v>3962</v>
      </c>
      <c r="AJ1" s="7" t="s">
        <v>3991</v>
      </c>
      <c r="AK1" s="7" t="s">
        <v>3975</v>
      </c>
      <c r="AL1" s="7" t="s">
        <v>3973</v>
      </c>
      <c r="AM1" s="157"/>
      <c r="AN1" s="157"/>
      <c r="AO1" s="157"/>
      <c r="AP1" s="157" t="s">
        <v>3983</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row>
    <row r="2" spans="1:209" s="26" customFormat="1" ht="25.5" customHeight="1">
      <c r="A2" s="546" t="s">
        <v>52</v>
      </c>
      <c r="B2" s="91"/>
      <c r="C2" s="92"/>
      <c r="D2" s="92"/>
      <c r="E2" s="93"/>
      <c r="F2" s="93"/>
      <c r="G2" s="93"/>
      <c r="H2" s="93"/>
      <c r="I2" s="93"/>
      <c r="J2" s="93"/>
      <c r="K2" s="93"/>
      <c r="L2" s="93"/>
      <c r="M2" s="93"/>
      <c r="N2" s="93"/>
      <c r="O2" s="93"/>
      <c r="P2" s="93"/>
      <c r="Q2" s="547"/>
      <c r="R2" s="93"/>
      <c r="S2" s="93"/>
      <c r="T2" s="93"/>
      <c r="U2" s="93"/>
      <c r="V2" s="93"/>
      <c r="W2" s="93"/>
      <c r="X2" s="93"/>
      <c r="Y2" s="93"/>
      <c r="Z2" s="93"/>
      <c r="AA2" s="93"/>
      <c r="AB2" s="93"/>
      <c r="AC2" s="93"/>
      <c r="AD2" s="93"/>
      <c r="AE2" s="93"/>
      <c r="AF2" s="93"/>
      <c r="AG2" s="93"/>
      <c r="AH2" s="93"/>
      <c r="AI2" s="93"/>
      <c r="AJ2" s="93"/>
      <c r="AK2" s="93"/>
      <c r="AL2" s="93"/>
      <c r="AM2" s="157"/>
      <c r="AN2" s="157"/>
      <c r="AO2" s="157"/>
      <c r="AP2" s="157">
        <v>0</v>
      </c>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row>
    <row r="3" spans="1:209" s="26" customFormat="1" ht="62.25" customHeight="1">
      <c r="A3" s="8" t="s">
        <v>53</v>
      </c>
      <c r="B3" s="29" t="s">
        <v>54</v>
      </c>
      <c r="C3" s="8" t="s">
        <v>55</v>
      </c>
      <c r="D3" s="8" t="s">
        <v>56</v>
      </c>
      <c r="E3" s="8" t="s">
        <v>57</v>
      </c>
      <c r="F3" s="8"/>
      <c r="G3" s="20" t="s">
        <v>58</v>
      </c>
      <c r="H3" s="20" t="s">
        <v>59</v>
      </c>
      <c r="I3" s="22">
        <v>1</v>
      </c>
      <c r="J3" s="20"/>
      <c r="K3" s="20"/>
      <c r="L3" s="20"/>
      <c r="M3" s="20"/>
      <c r="N3" s="20"/>
      <c r="O3" s="20"/>
      <c r="P3" s="20"/>
      <c r="Q3" s="157"/>
      <c r="R3" s="20"/>
      <c r="S3" s="20"/>
      <c r="T3" s="20"/>
      <c r="U3" s="20"/>
      <c r="V3" s="20"/>
      <c r="W3" s="20"/>
      <c r="X3" s="20"/>
      <c r="Y3" s="20"/>
      <c r="Z3" s="20"/>
      <c r="AA3" s="20"/>
      <c r="AB3" s="20"/>
      <c r="AC3" s="22"/>
      <c r="AD3" s="22"/>
      <c r="AE3" s="22"/>
      <c r="AF3" s="22"/>
      <c r="AG3" s="22"/>
      <c r="AH3" s="22"/>
      <c r="AI3" s="22"/>
      <c r="AJ3" s="22"/>
      <c r="AK3" s="22"/>
      <c r="AL3" s="22"/>
      <c r="AM3" s="157"/>
      <c r="AN3" s="157"/>
      <c r="AO3" s="157"/>
      <c r="AP3" s="157">
        <v>0</v>
      </c>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row>
    <row r="4" spans="1:209" s="26" customFormat="1" ht="62.25" customHeight="1">
      <c r="A4" s="8" t="s">
        <v>53</v>
      </c>
      <c r="B4" s="29" t="s">
        <v>54</v>
      </c>
      <c r="C4" s="8" t="s">
        <v>55</v>
      </c>
      <c r="D4" s="8" t="s">
        <v>60</v>
      </c>
      <c r="E4" s="69" t="s">
        <v>61</v>
      </c>
      <c r="F4" s="8"/>
      <c r="G4" s="8" t="s">
        <v>62</v>
      </c>
      <c r="H4" s="8" t="s">
        <v>59</v>
      </c>
      <c r="I4" s="9">
        <v>1</v>
      </c>
      <c r="J4" s="9"/>
      <c r="K4" s="9"/>
      <c r="L4" s="9"/>
      <c r="M4" s="9"/>
      <c r="N4" s="9"/>
      <c r="O4" s="9"/>
      <c r="P4" s="8"/>
      <c r="Q4" s="520"/>
      <c r="R4" s="548"/>
      <c r="S4" s="9"/>
      <c r="T4" s="9"/>
      <c r="U4" s="9"/>
      <c r="V4" s="9"/>
      <c r="W4" s="9"/>
      <c r="X4" s="9"/>
      <c r="Y4" s="9"/>
      <c r="Z4" s="9"/>
      <c r="AA4" s="8"/>
      <c r="AB4" s="8"/>
      <c r="AC4" s="314" t="str">
        <f>IF(AD4&gt;0,"yes", "no")</f>
        <v>yes</v>
      </c>
      <c r="AD4" s="314">
        <f>COUNTA(first:Last!R4)</f>
        <v>2</v>
      </c>
      <c r="AE4" s="157">
        <f>SUM(first:Last!Z4)</f>
        <v>36000</v>
      </c>
      <c r="AF4" s="157" t="str">
        <f>IF(AH4&gt;0,"yes", "no")</f>
        <v>yes</v>
      </c>
      <c r="AG4" s="157">
        <f>COUNTA(Last:end!M4)</f>
        <v>1</v>
      </c>
      <c r="AH4" s="520">
        <f>COUNTA(Last:end!M4)/6</f>
        <v>0.16666666666666666</v>
      </c>
      <c r="AI4" s="157">
        <f>SUM(Last:end!O4)</f>
        <v>10000</v>
      </c>
      <c r="AJ4" s="157">
        <f>MIN(Last:end!L4)</f>
        <v>0</v>
      </c>
      <c r="AK4" s="157" t="e">
        <f>IF(AND(AJ4&lt;=2023,#REF!="high interest / inadequate offer "),"yes","no")</f>
        <v>#REF!</v>
      </c>
      <c r="AL4" s="157" t="str">
        <f t="shared" ref="AL4:AL35" si="0">IF(AD4&gt;1,"yes", "no")</f>
        <v>yes</v>
      </c>
      <c r="AM4" s="157"/>
      <c r="AN4" s="157"/>
      <c r="AO4" s="157"/>
      <c r="AP4" s="157">
        <v>1</v>
      </c>
      <c r="AQ4" s="1"/>
      <c r="AR4" s="1"/>
      <c r="AS4" s="1"/>
      <c r="AT4" s="1"/>
      <c r="AU4" s="1"/>
      <c r="AV4" s="1"/>
      <c r="AW4" s="1"/>
      <c r="AX4" s="1"/>
      <c r="AY4" s="1"/>
      <c r="AZ4" s="1"/>
      <c r="BA4" s="1"/>
      <c r="BB4" s="1"/>
      <c r="BC4" s="1"/>
      <c r="BD4" s="1"/>
      <c r="BE4" s="1"/>
      <c r="BF4" s="1"/>
      <c r="BG4" s="1"/>
      <c r="BH4" s="1"/>
      <c r="BI4" s="1"/>
      <c r="BJ4" s="1"/>
      <c r="BK4" s="1"/>
      <c r="BL4" s="1"/>
      <c r="BM4" s="1"/>
      <c r="BN4"/>
      <c r="BO4"/>
      <c r="BP4"/>
      <c r="BQ4"/>
      <c r="BR4"/>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row>
    <row r="5" spans="1:209" s="26" customFormat="1" ht="62.25" customHeight="1">
      <c r="A5" s="8" t="s">
        <v>53</v>
      </c>
      <c r="B5" s="29" t="s">
        <v>54</v>
      </c>
      <c r="C5" s="8" t="s">
        <v>55</v>
      </c>
      <c r="D5" s="8" t="s">
        <v>63</v>
      </c>
      <c r="E5" s="69" t="s">
        <v>64</v>
      </c>
      <c r="F5" s="8"/>
      <c r="G5" s="8" t="s">
        <v>62</v>
      </c>
      <c r="H5" s="8" t="s">
        <v>59</v>
      </c>
      <c r="I5" s="9">
        <v>1</v>
      </c>
      <c r="J5" s="9"/>
      <c r="K5" s="9"/>
      <c r="L5" s="9"/>
      <c r="M5" s="9"/>
      <c r="N5" s="9"/>
      <c r="O5" s="9"/>
      <c r="P5" s="8"/>
      <c r="Q5" s="520"/>
      <c r="R5" s="548"/>
      <c r="S5" s="9"/>
      <c r="T5" s="9"/>
      <c r="U5" s="9"/>
      <c r="V5" s="9"/>
      <c r="W5" s="9"/>
      <c r="X5" s="9"/>
      <c r="Y5" s="9"/>
      <c r="Z5" s="9"/>
      <c r="AA5" s="8"/>
      <c r="AB5" s="8"/>
      <c r="AC5" s="314" t="str">
        <f t="shared" ref="AC5:AC10" si="1">IF(AD5&gt;0,"yes", "no")</f>
        <v>yes</v>
      </c>
      <c r="AD5" s="314">
        <f>COUNTA(first:Last!R5)</f>
        <v>2</v>
      </c>
      <c r="AE5" s="157">
        <f>SUM(first:Last!Z5)</f>
        <v>0</v>
      </c>
      <c r="AF5" s="157" t="str">
        <f t="shared" ref="AF5:AF10" si="2">IF(AH5&gt;0,"yes", "no")</f>
        <v>yes</v>
      </c>
      <c r="AG5" s="157">
        <f>COUNTA(Last:end!M5)</f>
        <v>2</v>
      </c>
      <c r="AH5" s="520">
        <f>COUNTA(Last:end!M5)/6</f>
        <v>0.33333333333333331</v>
      </c>
      <c r="AI5" s="157">
        <f>SUM(Last:end!O5)</f>
        <v>0</v>
      </c>
      <c r="AJ5" s="157">
        <f>MIN(Last:end!L5)</f>
        <v>2022</v>
      </c>
      <c r="AK5" s="157" t="e">
        <f>IF(AND(AJ5&lt;=2023,#REF!="high interest / inadequate offer "),"yes","no")</f>
        <v>#REF!</v>
      </c>
      <c r="AL5" s="157" t="str">
        <f t="shared" si="0"/>
        <v>yes</v>
      </c>
      <c r="AM5" s="157"/>
      <c r="AN5" s="157"/>
      <c r="AO5" s="157"/>
      <c r="AP5" s="157">
        <v>1</v>
      </c>
      <c r="AQ5" s="1"/>
      <c r="AR5" s="1"/>
      <c r="AS5" s="1"/>
      <c r="AT5" s="1"/>
      <c r="AU5" s="1"/>
      <c r="AV5" s="1"/>
      <c r="AW5" s="1"/>
      <c r="AX5" s="1"/>
      <c r="AY5" s="1"/>
      <c r="AZ5" s="1"/>
      <c r="BA5" s="1"/>
      <c r="BB5" s="1"/>
      <c r="BC5" s="1"/>
      <c r="BD5" s="1"/>
      <c r="BE5" s="1"/>
      <c r="BF5" s="1"/>
      <c r="BG5" s="1"/>
      <c r="BH5" s="1"/>
      <c r="BI5" s="1"/>
      <c r="BJ5" s="1"/>
      <c r="BK5" s="1"/>
      <c r="BL5" s="1"/>
      <c r="BM5" s="1"/>
      <c r="BN5"/>
      <c r="BO5"/>
      <c r="BP5"/>
      <c r="BQ5"/>
      <c r="BR5"/>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row>
    <row r="6" spans="1:209" s="26" customFormat="1" ht="62.25" customHeight="1">
      <c r="A6" s="8" t="s">
        <v>53</v>
      </c>
      <c r="B6" s="29" t="s">
        <v>54</v>
      </c>
      <c r="C6" s="8" t="s">
        <v>55</v>
      </c>
      <c r="D6" s="8" t="s">
        <v>65</v>
      </c>
      <c r="E6" s="69" t="s">
        <v>66</v>
      </c>
      <c r="F6" s="8"/>
      <c r="G6" s="8" t="s">
        <v>62</v>
      </c>
      <c r="H6" s="8" t="s">
        <v>59</v>
      </c>
      <c r="I6" s="9">
        <v>1</v>
      </c>
      <c r="J6" s="9"/>
      <c r="K6" s="9"/>
      <c r="L6" s="9"/>
      <c r="M6" s="9"/>
      <c r="N6" s="9"/>
      <c r="O6" s="9"/>
      <c r="P6" s="8"/>
      <c r="Q6" s="520"/>
      <c r="R6" s="548"/>
      <c r="S6" s="9"/>
      <c r="T6" s="9"/>
      <c r="U6" s="9"/>
      <c r="V6" s="9"/>
      <c r="W6" s="9"/>
      <c r="X6" s="9"/>
      <c r="Y6" s="9"/>
      <c r="Z6" s="9"/>
      <c r="AA6" s="8"/>
      <c r="AB6" s="8"/>
      <c r="AC6" s="314" t="str">
        <f t="shared" si="1"/>
        <v>yes</v>
      </c>
      <c r="AD6" s="314">
        <f>COUNTA(first:Last!R6)</f>
        <v>2</v>
      </c>
      <c r="AE6" s="157">
        <f>SUM(first:Last!Z6)</f>
        <v>0</v>
      </c>
      <c r="AF6" s="157" t="str">
        <f t="shared" si="2"/>
        <v>yes</v>
      </c>
      <c r="AG6" s="157">
        <f>COUNTA(Last:end!M6)</f>
        <v>2</v>
      </c>
      <c r="AH6" s="520">
        <f>COUNTA(Last:end!M6)/6</f>
        <v>0.33333333333333331</v>
      </c>
      <c r="AI6" s="157">
        <f>SUM(Last:end!O6)</f>
        <v>10000</v>
      </c>
      <c r="AJ6" s="157">
        <f>MIN(Last:end!L6)</f>
        <v>0</v>
      </c>
      <c r="AK6" s="157" t="e">
        <f>IF(AND(AJ6&lt;=2023,#REF!="high interest / inadequate offer "),"yes","no")</f>
        <v>#REF!</v>
      </c>
      <c r="AL6" s="157" t="str">
        <f t="shared" si="0"/>
        <v>yes</v>
      </c>
      <c r="AM6" s="157"/>
      <c r="AN6" s="157"/>
      <c r="AO6" s="157"/>
      <c r="AP6" s="157">
        <v>1</v>
      </c>
      <c r="AQ6" s="1"/>
      <c r="AR6" s="1"/>
      <c r="AS6" s="1"/>
      <c r="AT6" s="1"/>
      <c r="AU6" s="1"/>
      <c r="AV6" s="1"/>
      <c r="AW6" s="1"/>
      <c r="AX6" s="1"/>
      <c r="AY6" s="1"/>
      <c r="AZ6" s="1"/>
      <c r="BA6" s="1"/>
      <c r="BB6" s="1"/>
      <c r="BC6" s="1"/>
      <c r="BD6" s="1"/>
      <c r="BE6" s="1"/>
      <c r="BF6" s="1"/>
      <c r="BG6" s="1"/>
      <c r="BH6" s="1"/>
      <c r="BI6" s="1"/>
      <c r="BJ6" s="1"/>
      <c r="BK6" s="1"/>
      <c r="BL6" s="1"/>
      <c r="BM6" s="1"/>
      <c r="BN6"/>
      <c r="BO6"/>
      <c r="BP6"/>
      <c r="BQ6"/>
      <c r="BR6"/>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row>
    <row r="7" spans="1:209" s="26" customFormat="1" ht="62.25" customHeight="1">
      <c r="A7" s="8" t="s">
        <v>53</v>
      </c>
      <c r="B7" s="29" t="s">
        <v>54</v>
      </c>
      <c r="C7" s="8" t="s">
        <v>55</v>
      </c>
      <c r="D7" s="8" t="s">
        <v>67</v>
      </c>
      <c r="E7" s="69" t="s">
        <v>68</v>
      </c>
      <c r="F7" s="8"/>
      <c r="G7" s="8" t="s">
        <v>62</v>
      </c>
      <c r="H7" s="8" t="s">
        <v>59</v>
      </c>
      <c r="I7" s="9">
        <v>1</v>
      </c>
      <c r="J7" s="9"/>
      <c r="K7" s="9"/>
      <c r="L7" s="9"/>
      <c r="M7" s="9"/>
      <c r="N7" s="9"/>
      <c r="O7" s="9"/>
      <c r="P7" s="8"/>
      <c r="Q7" s="520"/>
      <c r="R7" s="548"/>
      <c r="S7" s="9"/>
      <c r="T7" s="9"/>
      <c r="U7" s="9"/>
      <c r="V7" s="9"/>
      <c r="W7" s="9"/>
      <c r="X7" s="9"/>
      <c r="Y7" s="9"/>
      <c r="Z7" s="9"/>
      <c r="AA7" s="8"/>
      <c r="AB7" s="8"/>
      <c r="AC7" s="314" t="str">
        <f t="shared" si="1"/>
        <v>yes</v>
      </c>
      <c r="AD7" s="314">
        <f>COUNTA(first:Last!R7)</f>
        <v>2</v>
      </c>
      <c r="AE7" s="157">
        <f>SUM(first:Last!Z7)</f>
        <v>0</v>
      </c>
      <c r="AF7" s="157" t="str">
        <f t="shared" si="2"/>
        <v>yes</v>
      </c>
      <c r="AG7" s="157">
        <f>COUNTA(Last:end!M7)</f>
        <v>4</v>
      </c>
      <c r="AH7" s="520">
        <f>COUNTA(Last:end!M7)/6</f>
        <v>0.66666666666666663</v>
      </c>
      <c r="AI7" s="157">
        <f>SUM(Last:end!O7)</f>
        <v>0</v>
      </c>
      <c r="AJ7" s="157">
        <f>MIN(Last:end!L7)</f>
        <v>2022</v>
      </c>
      <c r="AK7" s="157" t="e">
        <f>IF(AND(AJ7&lt;=2023,#REF!="high interest / inadequate offer "),"yes","no")</f>
        <v>#REF!</v>
      </c>
      <c r="AL7" s="157" t="str">
        <f t="shared" si="0"/>
        <v>yes</v>
      </c>
      <c r="AM7" s="157"/>
      <c r="AN7" s="157"/>
      <c r="AO7" s="157"/>
      <c r="AP7" s="157">
        <v>1</v>
      </c>
      <c r="AQ7" s="1"/>
      <c r="AR7" s="1"/>
      <c r="AS7" s="1"/>
      <c r="AT7" s="1"/>
      <c r="AU7" s="1"/>
      <c r="AV7" s="1"/>
      <c r="AW7" s="1"/>
      <c r="AX7" s="1"/>
      <c r="AY7" s="1"/>
      <c r="AZ7" s="1"/>
      <c r="BA7" s="1"/>
      <c r="BB7" s="1"/>
      <c r="BC7" s="1"/>
      <c r="BD7" s="1"/>
      <c r="BE7" s="1"/>
      <c r="BF7" s="1"/>
      <c r="BG7" s="1"/>
      <c r="BH7" s="1"/>
      <c r="BI7" s="1"/>
      <c r="BJ7" s="1"/>
      <c r="BK7" s="1"/>
      <c r="BL7" s="1"/>
      <c r="BM7" s="1"/>
      <c r="BN7"/>
      <c r="BO7"/>
      <c r="BP7"/>
      <c r="BQ7"/>
      <c r="BR7"/>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row>
    <row r="8" spans="1:209" s="26" customFormat="1" ht="63">
      <c r="A8" s="8" t="s">
        <v>53</v>
      </c>
      <c r="B8" s="29" t="s">
        <v>54</v>
      </c>
      <c r="C8" s="8" t="s">
        <v>55</v>
      </c>
      <c r="D8" s="8" t="s">
        <v>69</v>
      </c>
      <c r="E8" s="8" t="s">
        <v>70</v>
      </c>
      <c r="F8" s="8"/>
      <c r="G8" s="8" t="s">
        <v>71</v>
      </c>
      <c r="H8" s="8" t="s">
        <v>72</v>
      </c>
      <c r="I8" s="8" t="s">
        <v>73</v>
      </c>
      <c r="J8" s="8"/>
      <c r="K8" s="8"/>
      <c r="L8" s="8"/>
      <c r="M8" s="8"/>
      <c r="N8" s="8"/>
      <c r="O8" s="8"/>
      <c r="P8" s="8"/>
      <c r="Q8" s="157"/>
      <c r="R8" s="548"/>
      <c r="S8" s="8"/>
      <c r="T8" s="8"/>
      <c r="U8" s="8"/>
      <c r="V8" s="8"/>
      <c r="W8" s="8"/>
      <c r="X8" s="8"/>
      <c r="Y8" s="8"/>
      <c r="Z8" s="8"/>
      <c r="AA8" s="8"/>
      <c r="AB8" s="8"/>
      <c r="AC8" s="314" t="str">
        <f t="shared" si="1"/>
        <v>yes</v>
      </c>
      <c r="AD8" s="314">
        <f>COUNTA(first:Last!R8)</f>
        <v>5</v>
      </c>
      <c r="AE8" s="157">
        <f>SUM(first:Last!Z8)</f>
        <v>0</v>
      </c>
      <c r="AF8" s="157" t="str">
        <f t="shared" si="2"/>
        <v>no</v>
      </c>
      <c r="AG8" s="157">
        <f>COUNTA(Last:end!M8)</f>
        <v>0</v>
      </c>
      <c r="AH8" s="520">
        <f>COUNTA(Last:end!M8)/6</f>
        <v>0</v>
      </c>
      <c r="AI8" s="157">
        <f>SUM(Last:end!O8)</f>
        <v>0</v>
      </c>
      <c r="AJ8" s="157">
        <f>MIN(Last:end!L8)</f>
        <v>0</v>
      </c>
      <c r="AK8" s="157" t="e">
        <f>IF(AND(AJ8&lt;=2023,#REF!="high interest / inadequate offer "),"yes","no")</f>
        <v>#REF!</v>
      </c>
      <c r="AL8" s="157" t="str">
        <f t="shared" si="0"/>
        <v>yes</v>
      </c>
      <c r="AM8" s="157"/>
      <c r="AN8" s="157"/>
      <c r="AO8" s="157"/>
      <c r="AP8" s="157">
        <v>1</v>
      </c>
      <c r="AQ8" s="1"/>
      <c r="AR8" s="1"/>
      <c r="AS8" s="1"/>
      <c r="AT8" s="1"/>
      <c r="AU8" s="1"/>
      <c r="AV8" s="1"/>
      <c r="AW8" s="1"/>
      <c r="AX8" s="1"/>
      <c r="AY8" s="1"/>
      <c r="AZ8" s="1"/>
      <c r="BA8" s="1"/>
      <c r="BB8" s="1"/>
      <c r="BC8" s="1"/>
      <c r="BD8" s="1"/>
      <c r="BE8" s="1"/>
      <c r="BF8" s="1"/>
      <c r="BG8" s="1"/>
      <c r="BH8" s="1"/>
      <c r="BI8" s="1"/>
      <c r="BJ8" s="1"/>
      <c r="BK8" s="1"/>
      <c r="BL8" s="1"/>
      <c r="BM8" s="1"/>
      <c r="BN8"/>
      <c r="BO8"/>
      <c r="BP8"/>
      <c r="BQ8"/>
      <c r="BR8"/>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row>
    <row r="9" spans="1:209" s="26" customFormat="1" ht="283.5">
      <c r="A9" s="8" t="s">
        <v>53</v>
      </c>
      <c r="B9" s="29" t="s">
        <v>54</v>
      </c>
      <c r="C9" s="8" t="s">
        <v>55</v>
      </c>
      <c r="D9" s="8" t="s">
        <v>74</v>
      </c>
      <c r="E9" s="8" t="s">
        <v>75</v>
      </c>
      <c r="F9" s="8"/>
      <c r="G9" s="8" t="s">
        <v>71</v>
      </c>
      <c r="H9" s="8" t="s">
        <v>76</v>
      </c>
      <c r="I9" s="8" t="s">
        <v>77</v>
      </c>
      <c r="J9" s="8"/>
      <c r="K9" s="10"/>
      <c r="L9" s="8"/>
      <c r="M9" s="8"/>
      <c r="N9" s="8"/>
      <c r="O9" s="8"/>
      <c r="P9" s="8"/>
      <c r="Q9" s="157"/>
      <c r="R9" s="548"/>
      <c r="S9" s="8"/>
      <c r="T9" s="8"/>
      <c r="U9" s="8"/>
      <c r="V9" s="8"/>
      <c r="W9" s="8"/>
      <c r="X9" s="8"/>
      <c r="Y9" s="8"/>
      <c r="Z9" s="8"/>
      <c r="AA9" s="8"/>
      <c r="AB9" s="8"/>
      <c r="AC9" s="314" t="str">
        <f t="shared" si="1"/>
        <v>yes</v>
      </c>
      <c r="AD9" s="314">
        <f>COUNTA(first:Last!R9)</f>
        <v>4</v>
      </c>
      <c r="AE9" s="157">
        <f>SUM(first:Last!Z9)</f>
        <v>0</v>
      </c>
      <c r="AF9" s="157" t="str">
        <f t="shared" si="2"/>
        <v>no</v>
      </c>
      <c r="AG9" s="157">
        <f>COUNTA(Last:end!M9)</f>
        <v>0</v>
      </c>
      <c r="AH9" s="520">
        <f>COUNTA(Last:end!M9)/6</f>
        <v>0</v>
      </c>
      <c r="AI9" s="157">
        <f>SUM(Last:end!O9)</f>
        <v>0</v>
      </c>
      <c r="AJ9" s="157">
        <f>MIN(Last:end!L9)</f>
        <v>0</v>
      </c>
      <c r="AK9" s="157" t="e">
        <f>IF(AND(AJ9&lt;=2023,#REF!="high interest / inadequate offer "),"yes","no")</f>
        <v>#REF!</v>
      </c>
      <c r="AL9" s="157" t="str">
        <f t="shared" si="0"/>
        <v>yes</v>
      </c>
      <c r="AM9" s="157"/>
      <c r="AN9" s="157"/>
      <c r="AO9" s="157"/>
      <c r="AP9" s="157">
        <v>1</v>
      </c>
      <c r="AQ9" s="1"/>
      <c r="AR9" s="1"/>
      <c r="AS9" s="1"/>
      <c r="AT9" s="1"/>
      <c r="AU9" s="1"/>
      <c r="AV9" s="1"/>
      <c r="AW9" s="1"/>
      <c r="AX9" s="1"/>
      <c r="AY9" s="1"/>
      <c r="AZ9" s="1"/>
      <c r="BA9" s="1"/>
      <c r="BB9" s="1"/>
      <c r="BC9" s="1"/>
      <c r="BD9" s="1"/>
      <c r="BE9" s="1"/>
      <c r="BF9" s="1"/>
      <c r="BG9" s="1"/>
      <c r="BH9" s="1"/>
      <c r="BI9" s="1"/>
      <c r="BJ9" s="1"/>
      <c r="BK9" s="1"/>
      <c r="BL9" s="1"/>
      <c r="BM9" s="1"/>
      <c r="BN9"/>
      <c r="BO9"/>
      <c r="BP9"/>
      <c r="BQ9"/>
      <c r="BR9"/>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row>
    <row r="10" spans="1:209" s="26" customFormat="1" ht="62.25" customHeight="1">
      <c r="A10" s="8" t="s">
        <v>53</v>
      </c>
      <c r="B10" s="29" t="s">
        <v>54</v>
      </c>
      <c r="C10" s="8" t="s">
        <v>55</v>
      </c>
      <c r="D10" s="8" t="s">
        <v>78</v>
      </c>
      <c r="E10" s="8" t="s">
        <v>79</v>
      </c>
      <c r="F10" s="8"/>
      <c r="G10" s="8" t="s">
        <v>62</v>
      </c>
      <c r="H10" s="8" t="s">
        <v>80</v>
      </c>
      <c r="I10" s="8">
        <v>5</v>
      </c>
      <c r="J10" s="8"/>
      <c r="K10" s="8"/>
      <c r="L10" s="8"/>
      <c r="M10" s="8"/>
      <c r="N10" s="8"/>
      <c r="O10" s="8"/>
      <c r="P10" s="8"/>
      <c r="Q10" s="157"/>
      <c r="R10" s="548">
        <f>COUNTA(first:Last!R10)</f>
        <v>2</v>
      </c>
      <c r="S10" s="8"/>
      <c r="T10" s="8"/>
      <c r="U10" s="8"/>
      <c r="V10" s="8"/>
      <c r="W10" s="8"/>
      <c r="X10" s="8"/>
      <c r="Y10" s="8"/>
      <c r="Z10" s="8"/>
      <c r="AA10" s="8"/>
      <c r="AB10" s="8"/>
      <c r="AC10" s="314" t="str">
        <f t="shared" si="1"/>
        <v>yes</v>
      </c>
      <c r="AD10" s="314">
        <f>COUNTA(first:Last!R10)</f>
        <v>2</v>
      </c>
      <c r="AE10" s="157">
        <f>SUM(first:Last!Z10)</f>
        <v>0</v>
      </c>
      <c r="AF10" s="157" t="str">
        <f t="shared" si="2"/>
        <v>yes</v>
      </c>
      <c r="AG10" s="157">
        <f>COUNTA(Last:end!M10)</f>
        <v>3</v>
      </c>
      <c r="AH10" s="520">
        <f>COUNTA(Last:end!M10)/6</f>
        <v>0.5</v>
      </c>
      <c r="AI10" s="157">
        <f>SUM(Last:end!O10)</f>
        <v>0</v>
      </c>
      <c r="AJ10" s="157">
        <f>MIN(Last:end!L10)</f>
        <v>0</v>
      </c>
      <c r="AK10" s="157" t="e">
        <f>IF(AND(AJ10&lt;=2023,#REF!="high interest / inadequate offer "),"yes","no")</f>
        <v>#REF!</v>
      </c>
      <c r="AL10" s="157" t="str">
        <f t="shared" si="0"/>
        <v>yes</v>
      </c>
      <c r="AM10" s="157"/>
      <c r="AN10" s="157"/>
      <c r="AO10" s="157"/>
      <c r="AP10" s="157">
        <v>1</v>
      </c>
      <c r="AQ10" s="1"/>
      <c r="AR10" s="1"/>
      <c r="AS10" s="1"/>
      <c r="AT10" s="1"/>
      <c r="AU10" s="1"/>
      <c r="AV10" s="1"/>
      <c r="AW10" s="1"/>
      <c r="AX10" s="1"/>
      <c r="AY10" s="1"/>
      <c r="AZ10" s="1"/>
      <c r="BA10" s="1"/>
      <c r="BB10" s="1"/>
      <c r="BC10" s="1"/>
      <c r="BD10" s="1"/>
      <c r="BE10" s="1"/>
      <c r="BF10" s="1"/>
      <c r="BG10" s="1"/>
      <c r="BH10" s="1"/>
      <c r="BI10" s="1"/>
      <c r="BJ10" s="1"/>
      <c r="BK10" s="1"/>
      <c r="BL10" s="1"/>
      <c r="BM10" s="1"/>
      <c r="BN10"/>
      <c r="BO10"/>
      <c r="BP10"/>
      <c r="BQ10"/>
      <c r="BR10"/>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row>
    <row r="11" spans="1:209" s="26" customFormat="1" ht="62.25" customHeight="1">
      <c r="A11" s="8" t="s">
        <v>53</v>
      </c>
      <c r="B11" s="29" t="s">
        <v>54</v>
      </c>
      <c r="C11" s="8" t="s">
        <v>81</v>
      </c>
      <c r="D11" s="8" t="s">
        <v>82</v>
      </c>
      <c r="E11" s="8" t="s">
        <v>83</v>
      </c>
      <c r="F11" s="8"/>
      <c r="G11" s="20" t="s">
        <v>62</v>
      </c>
      <c r="H11" s="20" t="s">
        <v>84</v>
      </c>
      <c r="I11" s="20" t="s">
        <v>85</v>
      </c>
      <c r="J11" s="20"/>
      <c r="K11" s="20"/>
      <c r="L11" s="20"/>
      <c r="M11" s="20"/>
      <c r="N11" s="20"/>
      <c r="O11" s="20"/>
      <c r="P11" s="20"/>
      <c r="Q11" s="157"/>
      <c r="R11" s="20"/>
      <c r="S11" s="20"/>
      <c r="T11" s="20"/>
      <c r="U11" s="20"/>
      <c r="V11" s="20"/>
      <c r="W11" s="20"/>
      <c r="X11" s="20"/>
      <c r="Y11" s="20"/>
      <c r="Z11" s="20"/>
      <c r="AA11" s="20"/>
      <c r="AB11" s="20"/>
      <c r="AC11" s="560" t="str">
        <f t="shared" ref="AC11:AC23" si="3">IF(AD11&gt;0,"yes", "no")</f>
        <v>no</v>
      </c>
      <c r="AD11" s="560">
        <f>COUNTA(first:Last!R11)</f>
        <v>0</v>
      </c>
      <c r="AE11" s="20">
        <f>SUM(first:Last!Z11)</f>
        <v>0</v>
      </c>
      <c r="AF11" s="20" t="str">
        <f t="shared" ref="AF11:AF23" si="4">IF(AH11&gt;0,"yes", "no")</f>
        <v>no</v>
      </c>
      <c r="AG11" s="20">
        <f>COUNTA(Last:end!M11)</f>
        <v>0</v>
      </c>
      <c r="AH11" s="22">
        <f>COUNTA(Last:end!M11)/6</f>
        <v>0</v>
      </c>
      <c r="AI11" s="20">
        <f>SUM(Last:end!O11)</f>
        <v>0</v>
      </c>
      <c r="AJ11" s="20">
        <f>MIN(Last:end!L11)</f>
        <v>0</v>
      </c>
      <c r="AK11" s="20" t="e">
        <f>IF(AND(AJ11&lt;=2023,#REF!="high interest / inadequate offer "),"yes","no")</f>
        <v>#REF!</v>
      </c>
      <c r="AL11" s="20" t="str">
        <f t="shared" si="0"/>
        <v>no</v>
      </c>
      <c r="AM11" s="157"/>
      <c r="AN11" s="157"/>
      <c r="AO11" s="157"/>
      <c r="AP11" s="157">
        <v>0</v>
      </c>
      <c r="AQ11" s="1"/>
      <c r="AR11" s="1"/>
      <c r="AS11" s="1"/>
      <c r="AT11" s="1"/>
      <c r="AU11" s="1"/>
      <c r="AV11" s="1"/>
      <c r="AW11" s="1"/>
      <c r="AX11" s="1"/>
      <c r="AY11" s="1"/>
      <c r="AZ11" s="1"/>
      <c r="BA11" s="1"/>
      <c r="BB11" s="1"/>
      <c r="BC11" s="1"/>
      <c r="BD11" s="1"/>
      <c r="BE11" s="1"/>
      <c r="BF11" s="1"/>
      <c r="BG11" s="1"/>
      <c r="BH11" s="1"/>
      <c r="BI11" s="1"/>
      <c r="BJ11" s="1"/>
      <c r="BK11" s="1"/>
      <c r="BL11" s="1"/>
      <c r="BM11" s="1"/>
      <c r="BN11" s="8" t="s">
        <v>53</v>
      </c>
      <c r="BO11" s="29" t="s">
        <v>54</v>
      </c>
      <c r="BP11" s="8" t="s">
        <v>81</v>
      </c>
      <c r="BQ11" s="8" t="s">
        <v>90</v>
      </c>
      <c r="BR11" s="69" t="s">
        <v>91</v>
      </c>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row>
    <row r="12" spans="1:209" s="26" customFormat="1" ht="62.25" customHeight="1">
      <c r="A12" s="8" t="s">
        <v>53</v>
      </c>
      <c r="B12" s="29" t="s">
        <v>54</v>
      </c>
      <c r="C12" s="8" t="s">
        <v>81</v>
      </c>
      <c r="D12" s="8" t="s">
        <v>86</v>
      </c>
      <c r="E12" s="69" t="s">
        <v>87</v>
      </c>
      <c r="F12" s="8"/>
      <c r="G12" s="8" t="s">
        <v>62</v>
      </c>
      <c r="H12" s="8" t="s">
        <v>84</v>
      </c>
      <c r="I12" s="8" t="s">
        <v>85</v>
      </c>
      <c r="J12" s="8"/>
      <c r="K12" s="8"/>
      <c r="L12" s="8"/>
      <c r="M12" s="8"/>
      <c r="N12" s="8"/>
      <c r="O12" s="8"/>
      <c r="P12" s="8"/>
      <c r="Q12" s="157"/>
      <c r="R12" s="8"/>
      <c r="S12" s="8"/>
      <c r="T12" s="8"/>
      <c r="U12" s="8"/>
      <c r="V12" s="8"/>
      <c r="W12" s="8"/>
      <c r="X12" s="8"/>
      <c r="Y12" s="8"/>
      <c r="Z12" s="8"/>
      <c r="AA12" s="8"/>
      <c r="AB12" s="8"/>
      <c r="AC12" s="314" t="str">
        <f t="shared" si="3"/>
        <v>yes</v>
      </c>
      <c r="AD12" s="314">
        <f>COUNTA(first:Last!R12)</f>
        <v>5</v>
      </c>
      <c r="AE12" s="157">
        <f>SUM(first:Last!Z12)</f>
        <v>20000</v>
      </c>
      <c r="AF12" s="157" t="str">
        <f t="shared" si="4"/>
        <v>yes</v>
      </c>
      <c r="AG12" s="157">
        <f>COUNTA(Last:end!M12)</f>
        <v>3</v>
      </c>
      <c r="AH12" s="520">
        <f>COUNTA(Last:end!M12)/6</f>
        <v>0.5</v>
      </c>
      <c r="AI12" s="157">
        <f>SUM(Last:end!O12)</f>
        <v>0</v>
      </c>
      <c r="AJ12" s="157">
        <f>MIN(Last:end!L12)</f>
        <v>0</v>
      </c>
      <c r="AK12" s="157" t="e">
        <f>IF(AND(AJ12&lt;=2023,#REF!="high interest / inadequate offer "),"yes","no")</f>
        <v>#REF!</v>
      </c>
      <c r="AL12" s="157" t="str">
        <f t="shared" si="0"/>
        <v>yes</v>
      </c>
      <c r="AM12" s="157"/>
      <c r="AN12" s="157"/>
      <c r="AO12" s="157"/>
      <c r="AP12" s="157">
        <v>1</v>
      </c>
      <c r="AQ12" s="1"/>
      <c r="AR12" s="1"/>
      <c r="AS12" s="1"/>
      <c r="AT12" s="1"/>
      <c r="AU12" s="1"/>
      <c r="AV12" s="1"/>
      <c r="AW12" s="1"/>
      <c r="AX12" s="1"/>
      <c r="AY12" s="1"/>
      <c r="AZ12" s="1"/>
      <c r="BA12" s="1"/>
      <c r="BB12" s="1"/>
      <c r="BC12" s="1"/>
      <c r="BD12" s="1"/>
      <c r="BE12" s="1"/>
      <c r="BF12" s="1"/>
      <c r="BG12" s="1"/>
      <c r="BH12" s="1"/>
      <c r="BI12" s="1"/>
      <c r="BJ12" s="1"/>
      <c r="BK12" s="1"/>
      <c r="BL12" s="1"/>
      <c r="BM12" s="1"/>
      <c r="BN12"/>
      <c r="BO12"/>
      <c r="BP12"/>
      <c r="BQ12"/>
      <c r="BR12"/>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row>
    <row r="13" spans="1:209" s="26" customFormat="1" ht="62.25" customHeight="1">
      <c r="A13" s="8" t="s">
        <v>53</v>
      </c>
      <c r="B13" s="29" t="s">
        <v>54</v>
      </c>
      <c r="C13" s="8" t="s">
        <v>81</v>
      </c>
      <c r="D13" s="8" t="s">
        <v>88</v>
      </c>
      <c r="E13" s="69" t="s">
        <v>89</v>
      </c>
      <c r="F13" s="8"/>
      <c r="G13" s="8" t="s">
        <v>62</v>
      </c>
      <c r="H13" s="8" t="s">
        <v>84</v>
      </c>
      <c r="I13" s="8" t="s">
        <v>85</v>
      </c>
      <c r="J13" s="8"/>
      <c r="K13" s="8"/>
      <c r="L13" s="8"/>
      <c r="M13" s="8"/>
      <c r="N13" s="8"/>
      <c r="O13" s="8"/>
      <c r="P13" s="8"/>
      <c r="Q13" s="157"/>
      <c r="R13" s="8"/>
      <c r="S13" s="8"/>
      <c r="T13" s="8"/>
      <c r="U13" s="8"/>
      <c r="V13" s="8"/>
      <c r="W13" s="8"/>
      <c r="X13" s="8"/>
      <c r="Y13" s="8"/>
      <c r="Z13" s="8"/>
      <c r="AA13" s="8"/>
      <c r="AB13" s="8"/>
      <c r="AC13" s="314" t="str">
        <f t="shared" si="3"/>
        <v>yes</v>
      </c>
      <c r="AD13" s="314">
        <f>COUNTA(first:Last!R13)</f>
        <v>3</v>
      </c>
      <c r="AE13" s="157">
        <f>SUM(first:Last!Z13)</f>
        <v>0</v>
      </c>
      <c r="AF13" s="157" t="str">
        <f t="shared" si="4"/>
        <v>yes</v>
      </c>
      <c r="AG13" s="157">
        <f>COUNTA(Last:end!M13)</f>
        <v>3</v>
      </c>
      <c r="AH13" s="520">
        <f>COUNTA(Last:end!M13)/6</f>
        <v>0.5</v>
      </c>
      <c r="AI13" s="157">
        <f>SUM(Last:end!O13)</f>
        <v>0</v>
      </c>
      <c r="AJ13" s="157">
        <f>MIN(Last:end!L13)</f>
        <v>0</v>
      </c>
      <c r="AK13" s="157" t="e">
        <f>IF(AND(AJ13&lt;=2023,#REF!="high interest / inadequate offer "),"yes","no")</f>
        <v>#REF!</v>
      </c>
      <c r="AL13" s="157" t="str">
        <f t="shared" si="0"/>
        <v>yes</v>
      </c>
      <c r="AM13" s="157"/>
      <c r="AN13" s="157"/>
      <c r="AO13" s="157"/>
      <c r="AP13" s="157">
        <v>1</v>
      </c>
      <c r="AQ13" s="1"/>
      <c r="AR13" s="1"/>
      <c r="AS13" s="1"/>
      <c r="AT13" s="1"/>
      <c r="AU13" s="1"/>
      <c r="AV13" s="1"/>
      <c r="AW13" s="1"/>
      <c r="AX13" s="1"/>
      <c r="AY13" s="1"/>
      <c r="AZ13" s="1"/>
      <c r="BA13" s="1"/>
      <c r="BB13" s="1"/>
      <c r="BC13" s="1"/>
      <c r="BD13" s="1"/>
      <c r="BE13" s="1"/>
      <c r="BF13" s="1"/>
      <c r="BG13" s="1"/>
      <c r="BH13" s="1"/>
      <c r="BI13" s="1"/>
      <c r="BJ13" s="1"/>
      <c r="BK13" s="1"/>
      <c r="BL13" s="1"/>
      <c r="BM13" s="1"/>
      <c r="BN13"/>
      <c r="BO13"/>
      <c r="BP13"/>
      <c r="BQ13"/>
      <c r="BR13"/>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row>
    <row r="14" spans="1:209" s="26" customFormat="1" ht="62.25" customHeight="1">
      <c r="A14" s="8" t="s">
        <v>53</v>
      </c>
      <c r="B14" s="29" t="s">
        <v>54</v>
      </c>
      <c r="C14" s="8" t="s">
        <v>81</v>
      </c>
      <c r="D14" s="8" t="s">
        <v>90</v>
      </c>
      <c r="E14" s="69" t="s">
        <v>91</v>
      </c>
      <c r="F14" s="8"/>
      <c r="G14" s="8" t="s">
        <v>62</v>
      </c>
      <c r="H14" s="8" t="s">
        <v>84</v>
      </c>
      <c r="I14" s="8" t="s">
        <v>85</v>
      </c>
      <c r="J14" s="8"/>
      <c r="K14" s="8"/>
      <c r="L14" s="8"/>
      <c r="M14" s="8"/>
      <c r="N14" s="8"/>
      <c r="O14" s="8"/>
      <c r="P14" s="8"/>
      <c r="Q14" s="157"/>
      <c r="R14" s="8"/>
      <c r="S14" s="8"/>
      <c r="T14" s="8"/>
      <c r="U14" s="8"/>
      <c r="V14" s="8"/>
      <c r="W14" s="8"/>
      <c r="X14" s="8"/>
      <c r="Y14" s="8"/>
      <c r="Z14" s="8"/>
      <c r="AA14" s="8"/>
      <c r="AB14" s="8"/>
      <c r="AC14" s="314" t="str">
        <f t="shared" si="3"/>
        <v>yes</v>
      </c>
      <c r="AD14" s="314">
        <f>COUNTA(first:Last!R14)</f>
        <v>5</v>
      </c>
      <c r="AE14" s="157">
        <f>SUM(first:Last!Z14)</f>
        <v>14000</v>
      </c>
      <c r="AF14" s="157" t="str">
        <f t="shared" si="4"/>
        <v>yes</v>
      </c>
      <c r="AG14" s="157">
        <f>COUNTA(Last:end!M14)</f>
        <v>3</v>
      </c>
      <c r="AH14" s="520">
        <f>COUNTA(Last:end!M14)/6</f>
        <v>0.5</v>
      </c>
      <c r="AI14" s="157">
        <f>SUM(Last:end!O14)</f>
        <v>0</v>
      </c>
      <c r="AJ14" s="157">
        <f>MIN(Last:end!L14)</f>
        <v>2023</v>
      </c>
      <c r="AK14" s="157" t="e">
        <f>IF(AND(AJ14&lt;=2023,#REF!="high interest / inadequate offer "),"yes","no")</f>
        <v>#REF!</v>
      </c>
      <c r="AL14" s="157" t="str">
        <f t="shared" si="0"/>
        <v>yes</v>
      </c>
      <c r="AM14" s="157"/>
      <c r="AN14" s="157"/>
      <c r="AO14" s="157"/>
      <c r="AP14" s="157">
        <v>1</v>
      </c>
      <c r="AQ14" s="1"/>
      <c r="AR14" s="1"/>
      <c r="AS14" s="1"/>
      <c r="AT14" s="1"/>
      <c r="AU14" s="1"/>
      <c r="AV14" s="1"/>
      <c r="AW14" s="1"/>
      <c r="AX14" s="1"/>
      <c r="AY14" s="1"/>
      <c r="AZ14" s="1"/>
      <c r="BA14" s="1"/>
      <c r="BB14" s="1"/>
      <c r="BC14" s="1"/>
      <c r="BD14" s="1"/>
      <c r="BE14" s="1"/>
      <c r="BF14" s="1"/>
      <c r="BG14" s="1"/>
      <c r="BH14" s="1"/>
      <c r="BI14" s="1"/>
      <c r="BJ14" s="1"/>
      <c r="BK14" s="1"/>
      <c r="BL14" s="1"/>
      <c r="BM14" s="1"/>
      <c r="BN14"/>
      <c r="BO14"/>
      <c r="BP14"/>
      <c r="BQ14"/>
      <c r="BR14"/>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row>
    <row r="15" spans="1:209" s="26" customFormat="1" ht="62.25" customHeight="1">
      <c r="A15" s="8" t="s">
        <v>53</v>
      </c>
      <c r="B15" s="29" t="s">
        <v>54</v>
      </c>
      <c r="C15" s="8" t="s">
        <v>81</v>
      </c>
      <c r="D15" s="8" t="s">
        <v>92</v>
      </c>
      <c r="E15" s="69" t="s">
        <v>93</v>
      </c>
      <c r="F15" s="8"/>
      <c r="G15" s="8" t="s">
        <v>62</v>
      </c>
      <c r="H15" s="8" t="s">
        <v>84</v>
      </c>
      <c r="I15" s="8" t="s">
        <v>85</v>
      </c>
      <c r="J15" s="8"/>
      <c r="K15" s="8"/>
      <c r="L15" s="8"/>
      <c r="M15" s="8"/>
      <c r="N15" s="8"/>
      <c r="O15" s="8"/>
      <c r="P15" s="8"/>
      <c r="Q15" s="157"/>
      <c r="R15" s="8"/>
      <c r="S15" s="8"/>
      <c r="T15" s="8"/>
      <c r="U15" s="8"/>
      <c r="V15" s="8"/>
      <c r="W15" s="8"/>
      <c r="X15" s="8"/>
      <c r="Y15" s="8"/>
      <c r="Z15" s="8"/>
      <c r="AA15" s="8"/>
      <c r="AB15" s="8"/>
      <c r="AC15" s="314" t="str">
        <f t="shared" si="3"/>
        <v>yes</v>
      </c>
      <c r="AD15" s="314">
        <f>COUNTA(first:Last!R15)</f>
        <v>3</v>
      </c>
      <c r="AE15" s="157">
        <f>SUM(first:Last!Z15)</f>
        <v>0</v>
      </c>
      <c r="AF15" s="157" t="str">
        <f t="shared" si="4"/>
        <v>yes</v>
      </c>
      <c r="AG15" s="157">
        <f>COUNTA(Last:end!M15)</f>
        <v>2</v>
      </c>
      <c r="AH15" s="520">
        <f>COUNTA(Last:end!M15)/6</f>
        <v>0.33333333333333331</v>
      </c>
      <c r="AI15" s="157">
        <f>SUM(Last:end!O15)</f>
        <v>0</v>
      </c>
      <c r="AJ15" s="157">
        <f>MIN(Last:end!L15)</f>
        <v>2023</v>
      </c>
      <c r="AK15" s="157" t="e">
        <f>IF(AND(AJ15&lt;=2023,#REF!="high interest / inadequate offer "),"yes","no")</f>
        <v>#REF!</v>
      </c>
      <c r="AL15" s="157" t="str">
        <f t="shared" si="0"/>
        <v>yes</v>
      </c>
      <c r="AM15" s="157"/>
      <c r="AN15" s="157"/>
      <c r="AO15" s="157"/>
      <c r="AP15" s="157">
        <v>1</v>
      </c>
      <c r="AQ15" s="1"/>
      <c r="AR15" s="1"/>
      <c r="AS15" s="1"/>
      <c r="AT15" s="1"/>
      <c r="AU15" s="1"/>
      <c r="AV15" s="1"/>
      <c r="AW15" s="1"/>
      <c r="AX15" s="1"/>
      <c r="AY15" s="1"/>
      <c r="AZ15" s="1"/>
      <c r="BA15" s="1"/>
      <c r="BB15" s="1"/>
      <c r="BC15" s="1"/>
      <c r="BD15" s="1"/>
      <c r="BE15" s="1"/>
      <c r="BF15" s="1"/>
      <c r="BG15" s="1"/>
      <c r="BH15" s="1"/>
      <c r="BI15" s="1"/>
      <c r="BJ15" s="1"/>
      <c r="BK15" s="1"/>
      <c r="BL15" s="1"/>
      <c r="BM15" s="1"/>
      <c r="BN15"/>
      <c r="BO15"/>
      <c r="BP15"/>
      <c r="BQ15"/>
      <c r="BR15"/>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row>
    <row r="16" spans="1:209" s="26" customFormat="1" ht="62.25" customHeight="1">
      <c r="A16" s="8" t="s">
        <v>53</v>
      </c>
      <c r="B16" s="29" t="s">
        <v>54</v>
      </c>
      <c r="C16" s="8" t="s">
        <v>81</v>
      </c>
      <c r="D16" s="8" t="s">
        <v>94</v>
      </c>
      <c r="E16" s="69" t="s">
        <v>95</v>
      </c>
      <c r="F16" s="8"/>
      <c r="G16" s="8" t="s">
        <v>62</v>
      </c>
      <c r="H16" s="8" t="s">
        <v>84</v>
      </c>
      <c r="I16" s="8" t="s">
        <v>85</v>
      </c>
      <c r="J16" s="8"/>
      <c r="K16" s="8"/>
      <c r="L16" s="8"/>
      <c r="M16" s="8"/>
      <c r="N16" s="8"/>
      <c r="O16" s="8"/>
      <c r="P16" s="8"/>
      <c r="Q16" s="157"/>
      <c r="R16" s="8"/>
      <c r="S16" s="8"/>
      <c r="T16" s="8"/>
      <c r="U16" s="8"/>
      <c r="V16" s="8"/>
      <c r="W16" s="8"/>
      <c r="X16" s="8"/>
      <c r="Y16" s="8"/>
      <c r="Z16" s="8"/>
      <c r="AA16" s="8"/>
      <c r="AB16" s="8"/>
      <c r="AC16" s="314" t="str">
        <f t="shared" si="3"/>
        <v>yes</v>
      </c>
      <c r="AD16" s="314">
        <f>COUNTA(first:Last!R16)</f>
        <v>3</v>
      </c>
      <c r="AE16" s="157">
        <f>SUM(first:Last!Z16)</f>
        <v>0</v>
      </c>
      <c r="AF16" s="157" t="str">
        <f t="shared" si="4"/>
        <v>yes</v>
      </c>
      <c r="AG16" s="157">
        <f>COUNTA(Last:end!M16)</f>
        <v>3</v>
      </c>
      <c r="AH16" s="520">
        <f>COUNTA(Last:end!M16)/6</f>
        <v>0.5</v>
      </c>
      <c r="AI16" s="157">
        <f>SUM(Last:end!O16)</f>
        <v>0</v>
      </c>
      <c r="AJ16" s="157">
        <f>MIN(Last:end!L16)</f>
        <v>0</v>
      </c>
      <c r="AK16" s="157" t="e">
        <f>IF(AND(AJ16&lt;=2023,#REF!="high interest / inadequate offer "),"yes","no")</f>
        <v>#REF!</v>
      </c>
      <c r="AL16" s="157" t="str">
        <f t="shared" si="0"/>
        <v>yes</v>
      </c>
      <c r="AM16" s="157"/>
      <c r="AN16" s="157"/>
      <c r="AO16" s="157"/>
      <c r="AP16" s="157">
        <v>1</v>
      </c>
      <c r="AQ16" s="1"/>
      <c r="AR16" s="1"/>
      <c r="AS16" s="1"/>
      <c r="AT16" s="1"/>
      <c r="AU16" s="1"/>
      <c r="AV16" s="1"/>
      <c r="AW16" s="1"/>
      <c r="AX16" s="1"/>
      <c r="AY16" s="1"/>
      <c r="AZ16" s="1"/>
      <c r="BA16" s="1"/>
      <c r="BB16" s="1"/>
      <c r="BC16" s="1"/>
      <c r="BD16" s="1"/>
      <c r="BE16" s="1"/>
      <c r="BF16" s="1"/>
      <c r="BG16" s="1"/>
      <c r="BH16" s="1"/>
      <c r="BI16" s="1"/>
      <c r="BJ16" s="1"/>
      <c r="BK16" s="1"/>
      <c r="BL16" s="1"/>
      <c r="BM16" s="1"/>
      <c r="BN16"/>
      <c r="BO16"/>
      <c r="BP16"/>
      <c r="BQ16"/>
      <c r="BR16"/>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row>
    <row r="17" spans="1:209" s="26" customFormat="1" ht="62.25" customHeight="1">
      <c r="A17" s="8" t="s">
        <v>53</v>
      </c>
      <c r="B17" s="29" t="s">
        <v>54</v>
      </c>
      <c r="C17" s="8" t="s">
        <v>81</v>
      </c>
      <c r="D17" s="8" t="s">
        <v>96</v>
      </c>
      <c r="E17" s="69" t="s">
        <v>97</v>
      </c>
      <c r="F17" s="8"/>
      <c r="G17" s="8" t="s">
        <v>62</v>
      </c>
      <c r="H17" s="8" t="s">
        <v>84</v>
      </c>
      <c r="I17" s="8" t="s">
        <v>85</v>
      </c>
      <c r="J17" s="8"/>
      <c r="K17" s="8"/>
      <c r="L17" s="8"/>
      <c r="M17" s="8"/>
      <c r="N17" s="8"/>
      <c r="O17" s="8"/>
      <c r="P17" s="8"/>
      <c r="Q17" s="157"/>
      <c r="R17" s="8"/>
      <c r="S17" s="8"/>
      <c r="T17" s="8"/>
      <c r="U17" s="8"/>
      <c r="V17" s="8"/>
      <c r="W17" s="8"/>
      <c r="X17" s="8"/>
      <c r="Y17" s="8"/>
      <c r="Z17" s="8"/>
      <c r="AA17" s="8"/>
      <c r="AB17" s="8"/>
      <c r="AC17" s="314" t="str">
        <f t="shared" si="3"/>
        <v>yes</v>
      </c>
      <c r="AD17" s="314">
        <f>COUNTA(first:Last!R17)</f>
        <v>2</v>
      </c>
      <c r="AE17" s="157">
        <f>SUM(first:Last!Z17)</f>
        <v>0</v>
      </c>
      <c r="AF17" s="157" t="str">
        <f t="shared" si="4"/>
        <v>yes</v>
      </c>
      <c r="AG17" s="157">
        <f>COUNTA(Last:end!M17)</f>
        <v>2</v>
      </c>
      <c r="AH17" s="520">
        <f>COUNTA(Last:end!M17)/6</f>
        <v>0.33333333333333331</v>
      </c>
      <c r="AI17" s="157">
        <f>SUM(Last:end!O17)</f>
        <v>9600</v>
      </c>
      <c r="AJ17" s="157">
        <f>MIN(Last:end!L17)</f>
        <v>0</v>
      </c>
      <c r="AK17" s="157" t="e">
        <f>IF(AND(AJ17&lt;=2023,#REF!="high interest / inadequate offer "),"yes","no")</f>
        <v>#REF!</v>
      </c>
      <c r="AL17" s="157" t="str">
        <f t="shared" si="0"/>
        <v>yes</v>
      </c>
      <c r="AM17" s="157"/>
      <c r="AN17" s="157"/>
      <c r="AO17" s="157"/>
      <c r="AP17" s="157">
        <v>1</v>
      </c>
      <c r="AQ17" s="1"/>
      <c r="AR17" s="1"/>
      <c r="AS17" s="1"/>
      <c r="AT17" s="1"/>
      <c r="AU17" s="1"/>
      <c r="AV17" s="1"/>
      <c r="AW17" s="1"/>
      <c r="AX17" s="1"/>
      <c r="AY17" s="1"/>
      <c r="AZ17" s="1"/>
      <c r="BA17" s="1"/>
      <c r="BB17" s="1"/>
      <c r="BC17" s="1"/>
      <c r="BD17" s="1"/>
      <c r="BE17" s="1"/>
      <c r="BF17" s="1"/>
      <c r="BG17" s="1"/>
      <c r="BH17" s="1"/>
      <c r="BI17" s="1"/>
      <c r="BJ17" s="1"/>
      <c r="BK17" s="1"/>
      <c r="BL17" s="1"/>
      <c r="BM17" s="1"/>
      <c r="BN17"/>
      <c r="BO17"/>
      <c r="BP17"/>
      <c r="BQ17"/>
      <c r="BR17"/>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row>
    <row r="18" spans="1:209" s="26" customFormat="1" ht="62.25" customHeight="1">
      <c r="A18" s="8" t="s">
        <v>53</v>
      </c>
      <c r="B18" s="29" t="s">
        <v>54</v>
      </c>
      <c r="C18" s="8" t="s">
        <v>81</v>
      </c>
      <c r="D18" s="8" t="s">
        <v>98</v>
      </c>
      <c r="E18" s="69" t="s">
        <v>99</v>
      </c>
      <c r="F18" s="8"/>
      <c r="G18" s="8" t="s">
        <v>62</v>
      </c>
      <c r="H18" s="8" t="s">
        <v>84</v>
      </c>
      <c r="I18" s="8" t="s">
        <v>85</v>
      </c>
      <c r="J18" s="8"/>
      <c r="K18" s="8"/>
      <c r="L18" s="8"/>
      <c r="M18" s="8"/>
      <c r="N18" s="8"/>
      <c r="O18" s="8"/>
      <c r="P18" s="8"/>
      <c r="Q18" s="157"/>
      <c r="R18" s="8"/>
      <c r="S18" s="8"/>
      <c r="T18" s="8"/>
      <c r="U18" s="8"/>
      <c r="V18" s="8"/>
      <c r="W18" s="8"/>
      <c r="X18" s="8"/>
      <c r="Y18" s="8"/>
      <c r="Z18" s="8"/>
      <c r="AA18" s="8"/>
      <c r="AB18" s="8"/>
      <c r="AC18" s="314" t="str">
        <f t="shared" ref="AC18:AC22" si="5">IF(AD18&gt;0,"yes", "no")</f>
        <v>yes</v>
      </c>
      <c r="AD18" s="314">
        <f>COUNTA(first:Last!R18)</f>
        <v>1</v>
      </c>
      <c r="AE18" s="157">
        <f>SUM(first:Last!Z18)</f>
        <v>0</v>
      </c>
      <c r="AF18" s="157" t="str">
        <f t="shared" ref="AF18:AF22" si="6">IF(AH18&gt;0,"yes", "no")</f>
        <v>yes</v>
      </c>
      <c r="AG18" s="157">
        <f>COUNTA(Last:end!M18)</f>
        <v>1</v>
      </c>
      <c r="AH18" s="520">
        <f>COUNTA(Last:end!M18)/6</f>
        <v>0.16666666666666666</v>
      </c>
      <c r="AI18" s="157">
        <f>SUM(Last:end!O18)</f>
        <v>9600</v>
      </c>
      <c r="AJ18" s="157">
        <f>MIN(Last:end!L18)</f>
        <v>0</v>
      </c>
      <c r="AK18" s="157" t="e">
        <f>IF(AND(AJ18&lt;=2023,#REF!="high interest / inadequate offer "),"yes","no")</f>
        <v>#REF!</v>
      </c>
      <c r="AL18" s="157" t="str">
        <f t="shared" si="0"/>
        <v>no</v>
      </c>
      <c r="AM18" s="157"/>
      <c r="AN18" s="157"/>
      <c r="AO18" s="157"/>
      <c r="AP18" s="157">
        <v>1</v>
      </c>
      <c r="AQ18" s="1"/>
      <c r="AR18" s="1"/>
      <c r="AS18" s="1"/>
      <c r="AT18" s="1"/>
      <c r="AU18" s="1"/>
      <c r="AV18" s="1"/>
      <c r="AW18" s="1"/>
      <c r="AX18" s="1"/>
      <c r="AY18" s="1"/>
      <c r="AZ18" s="1"/>
      <c r="BA18" s="1"/>
      <c r="BB18" s="1"/>
      <c r="BC18" s="1"/>
      <c r="BD18" s="1"/>
      <c r="BE18" s="1"/>
      <c r="BF18" s="1"/>
      <c r="BG18" s="1"/>
      <c r="BH18" s="1"/>
      <c r="BI18" s="1"/>
      <c r="BJ18" s="1"/>
      <c r="BK18" s="1"/>
      <c r="BL18" s="1"/>
      <c r="BM18" s="1"/>
      <c r="BN18" s="8" t="s">
        <v>53</v>
      </c>
      <c r="BO18" s="29" t="s">
        <v>195</v>
      </c>
      <c r="BP18" s="8" t="s">
        <v>196</v>
      </c>
      <c r="BQ18" s="8" t="s">
        <v>199</v>
      </c>
      <c r="BR18" s="69" t="s">
        <v>200</v>
      </c>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row>
    <row r="19" spans="1:209" s="26" customFormat="1" ht="62.25" customHeight="1">
      <c r="A19" s="8" t="s">
        <v>53</v>
      </c>
      <c r="B19" s="29" t="s">
        <v>54</v>
      </c>
      <c r="C19" s="8" t="s">
        <v>81</v>
      </c>
      <c r="D19" s="8" t="s">
        <v>100</v>
      </c>
      <c r="E19" s="69" t="s">
        <v>101</v>
      </c>
      <c r="F19" s="8"/>
      <c r="G19" s="8" t="s">
        <v>62</v>
      </c>
      <c r="H19" s="8" t="s">
        <v>84</v>
      </c>
      <c r="I19" s="8" t="s">
        <v>85</v>
      </c>
      <c r="J19" s="8"/>
      <c r="K19" s="8"/>
      <c r="L19" s="8"/>
      <c r="M19" s="8"/>
      <c r="N19" s="8"/>
      <c r="O19" s="8"/>
      <c r="P19" s="8"/>
      <c r="Q19" s="157"/>
      <c r="R19" s="8"/>
      <c r="S19" s="8"/>
      <c r="T19" s="8"/>
      <c r="U19" s="8"/>
      <c r="V19" s="8"/>
      <c r="W19" s="8"/>
      <c r="X19" s="8"/>
      <c r="Y19" s="8"/>
      <c r="Z19" s="8"/>
      <c r="AA19" s="8"/>
      <c r="AB19" s="8"/>
      <c r="AC19" s="314" t="str">
        <f t="shared" si="5"/>
        <v>yes</v>
      </c>
      <c r="AD19" s="314">
        <f>COUNTA(first:Last!R19)</f>
        <v>1</v>
      </c>
      <c r="AE19" s="157">
        <f>SUM(first:Last!Z19)</f>
        <v>0</v>
      </c>
      <c r="AF19" s="157" t="str">
        <f t="shared" si="6"/>
        <v>yes</v>
      </c>
      <c r="AG19" s="157">
        <f>COUNTA(Last:end!M19)</f>
        <v>1</v>
      </c>
      <c r="AH19" s="520">
        <f>COUNTA(Last:end!M19)/6</f>
        <v>0.16666666666666666</v>
      </c>
      <c r="AI19" s="157">
        <f>SUM(Last:end!O19)</f>
        <v>0</v>
      </c>
      <c r="AJ19" s="157">
        <f>MIN(Last:end!L19)</f>
        <v>0</v>
      </c>
      <c r="AK19" s="157" t="e">
        <f>IF(AND(AJ19&lt;=2023,#REF!="high interest / inadequate offer "),"yes","no")</f>
        <v>#REF!</v>
      </c>
      <c r="AL19" s="157" t="str">
        <f t="shared" si="0"/>
        <v>no</v>
      </c>
      <c r="AM19" s="157"/>
      <c r="AN19" s="157"/>
      <c r="AO19" s="157"/>
      <c r="AP19" s="157">
        <v>1</v>
      </c>
      <c r="AQ19" s="1"/>
      <c r="AR19" s="1"/>
      <c r="AS19" s="1"/>
      <c r="AT19" s="1"/>
      <c r="AU19" s="1"/>
      <c r="AV19" s="1"/>
      <c r="AW19" s="1"/>
      <c r="AX19" s="1"/>
      <c r="AY19" s="1"/>
      <c r="AZ19" s="1"/>
      <c r="BA19" s="1"/>
      <c r="BB19" s="1"/>
      <c r="BC19" s="1"/>
      <c r="BD19" s="1"/>
      <c r="BE19" s="1"/>
      <c r="BF19" s="1"/>
      <c r="BG19" s="1"/>
      <c r="BH19" s="1"/>
      <c r="BI19" s="1"/>
      <c r="BJ19" s="1"/>
      <c r="BK19" s="1"/>
      <c r="BL19" s="1"/>
      <c r="BM19" s="1"/>
      <c r="BN19" s="8" t="s">
        <v>53</v>
      </c>
      <c r="BO19" s="29" t="s">
        <v>195</v>
      </c>
      <c r="BP19" s="8" t="s">
        <v>196</v>
      </c>
      <c r="BQ19" s="8" t="s">
        <v>202</v>
      </c>
      <c r="BR19" s="69" t="s">
        <v>203</v>
      </c>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row>
    <row r="20" spans="1:209" s="26" customFormat="1" ht="62.25" customHeight="1">
      <c r="A20" s="8" t="s">
        <v>53</v>
      </c>
      <c r="B20" s="29" t="s">
        <v>54</v>
      </c>
      <c r="C20" s="8" t="s">
        <v>81</v>
      </c>
      <c r="D20" s="8" t="s">
        <v>102</v>
      </c>
      <c r="E20" s="69" t="s">
        <v>103</v>
      </c>
      <c r="F20" s="8"/>
      <c r="G20" s="8" t="s">
        <v>62</v>
      </c>
      <c r="H20" s="8" t="s">
        <v>84</v>
      </c>
      <c r="I20" s="8" t="s">
        <v>85</v>
      </c>
      <c r="J20" s="8"/>
      <c r="K20" s="8"/>
      <c r="L20" s="8"/>
      <c r="M20" s="8"/>
      <c r="N20" s="8"/>
      <c r="O20" s="8"/>
      <c r="P20" s="8"/>
      <c r="Q20" s="157"/>
      <c r="R20" s="8"/>
      <c r="S20" s="8"/>
      <c r="T20" s="8"/>
      <c r="U20" s="8"/>
      <c r="V20" s="8"/>
      <c r="W20" s="8"/>
      <c r="X20" s="8"/>
      <c r="Y20" s="8"/>
      <c r="Z20" s="8"/>
      <c r="AA20" s="8"/>
      <c r="AB20" s="8"/>
      <c r="AC20" s="314" t="str">
        <f t="shared" si="5"/>
        <v>yes</v>
      </c>
      <c r="AD20" s="314">
        <f>COUNTA(first:Last!R20)</f>
        <v>2</v>
      </c>
      <c r="AE20" s="157">
        <f>SUM(first:Last!Z20)</f>
        <v>0</v>
      </c>
      <c r="AF20" s="157" t="str">
        <f t="shared" si="6"/>
        <v>yes</v>
      </c>
      <c r="AG20" s="157">
        <f>COUNTA(Last:end!M20)</f>
        <v>3</v>
      </c>
      <c r="AH20" s="520">
        <f>COUNTA(Last:end!M20)/6</f>
        <v>0.5</v>
      </c>
      <c r="AI20" s="157">
        <f>SUM(Last:end!O20)</f>
        <v>0</v>
      </c>
      <c r="AJ20" s="157">
        <f>MIN(Last:end!L20)</f>
        <v>2023</v>
      </c>
      <c r="AK20" s="157" t="e">
        <f>IF(AND(AJ20&lt;=2023,#REF!="high interest / inadequate offer "),"yes","no")</f>
        <v>#REF!</v>
      </c>
      <c r="AL20" s="157" t="str">
        <f t="shared" si="0"/>
        <v>yes</v>
      </c>
      <c r="AM20" s="157"/>
      <c r="AN20" s="157"/>
      <c r="AO20" s="157"/>
      <c r="AP20" s="157">
        <v>1</v>
      </c>
      <c r="AQ20" s="1"/>
      <c r="AR20" s="1"/>
      <c r="AS20" s="1"/>
      <c r="AT20" s="1"/>
      <c r="AU20" s="1"/>
      <c r="AV20" s="1"/>
      <c r="AW20" s="1"/>
      <c r="AX20" s="1"/>
      <c r="AY20" s="1"/>
      <c r="AZ20" s="1"/>
      <c r="BA20" s="1"/>
      <c r="BB20" s="1"/>
      <c r="BC20" s="1"/>
      <c r="BD20" s="1"/>
      <c r="BE20" s="1"/>
      <c r="BF20" s="1"/>
      <c r="BG20" s="1"/>
      <c r="BH20" s="1"/>
      <c r="BI20" s="1"/>
      <c r="BJ20" s="1"/>
      <c r="BK20" s="1"/>
      <c r="BL20" s="1"/>
      <c r="BM20" s="1"/>
      <c r="BN20"/>
      <c r="BO20"/>
      <c r="BP20"/>
      <c r="BQ20"/>
      <c r="BR20"/>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row>
    <row r="21" spans="1:209" s="26" customFormat="1" ht="62.25" customHeight="1">
      <c r="A21" s="8" t="s">
        <v>53</v>
      </c>
      <c r="B21" s="29" t="s">
        <v>54</v>
      </c>
      <c r="C21" s="8" t="s">
        <v>81</v>
      </c>
      <c r="D21" s="8" t="s">
        <v>104</v>
      </c>
      <c r="E21" s="8" t="s">
        <v>105</v>
      </c>
      <c r="F21" s="8"/>
      <c r="G21" s="8" t="s">
        <v>62</v>
      </c>
      <c r="H21" s="8" t="s">
        <v>106</v>
      </c>
      <c r="I21" s="9">
        <v>1</v>
      </c>
      <c r="J21" s="9"/>
      <c r="K21" s="11"/>
      <c r="L21" s="9"/>
      <c r="M21" s="9"/>
      <c r="N21" s="9"/>
      <c r="O21" s="9"/>
      <c r="P21" s="8"/>
      <c r="Q21" s="520"/>
      <c r="R21" s="9"/>
      <c r="S21" s="9"/>
      <c r="T21" s="9"/>
      <c r="U21" s="9"/>
      <c r="V21" s="9"/>
      <c r="W21" s="9"/>
      <c r="X21" s="9"/>
      <c r="Y21" s="9"/>
      <c r="Z21" s="9"/>
      <c r="AA21" s="8"/>
      <c r="AB21" s="8"/>
      <c r="AC21" s="314" t="str">
        <f t="shared" si="5"/>
        <v>yes</v>
      </c>
      <c r="AD21" s="314">
        <f>COUNTA(first:Last!R21)</f>
        <v>5</v>
      </c>
      <c r="AE21" s="157">
        <f>SUM(first:Last!Z21)</f>
        <v>0</v>
      </c>
      <c r="AF21" s="157" t="str">
        <f t="shared" si="6"/>
        <v>yes</v>
      </c>
      <c r="AG21" s="157">
        <f>COUNTA(Last:end!M21)</f>
        <v>3</v>
      </c>
      <c r="AH21" s="520">
        <f>COUNTA(Last:end!M21)/6</f>
        <v>0.5</v>
      </c>
      <c r="AI21" s="157">
        <f>SUM(Last:end!O21)</f>
        <v>0</v>
      </c>
      <c r="AJ21" s="157">
        <f>MIN(Last:end!L21)</f>
        <v>2023</v>
      </c>
      <c r="AK21" s="157" t="e">
        <f>IF(AND(AJ21&lt;=2023,#REF!="high interest / inadequate offer "),"yes","no")</f>
        <v>#REF!</v>
      </c>
      <c r="AL21" s="157" t="str">
        <f t="shared" si="0"/>
        <v>yes</v>
      </c>
      <c r="AM21" s="157"/>
      <c r="AN21" s="157"/>
      <c r="AO21" s="157"/>
      <c r="AP21" s="157">
        <v>1</v>
      </c>
      <c r="AQ21" s="1"/>
      <c r="AR21" s="1"/>
      <c r="AS21" s="1"/>
      <c r="AT21" s="1"/>
      <c r="AU21" s="1"/>
      <c r="AV21" s="1"/>
      <c r="AW21" s="1"/>
      <c r="AX21" s="1"/>
      <c r="AY21" s="1"/>
      <c r="AZ21" s="1"/>
      <c r="BA21" s="1"/>
      <c r="BB21" s="1"/>
      <c r="BC21" s="1"/>
      <c r="BD21" s="1"/>
      <c r="BE21" s="1"/>
      <c r="BF21" s="1"/>
      <c r="BG21" s="1"/>
      <c r="BH21" s="1"/>
      <c r="BI21" s="1"/>
      <c r="BJ21" s="1"/>
      <c r="BK21" s="1"/>
      <c r="BL21" s="1"/>
      <c r="BM21" s="1"/>
      <c r="BN21"/>
      <c r="BO21"/>
      <c r="BP21"/>
      <c r="BQ21"/>
      <c r="BR2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row>
    <row r="22" spans="1:209" s="26" customFormat="1" ht="62.25" customHeight="1">
      <c r="A22" s="8" t="s">
        <v>53</v>
      </c>
      <c r="B22" s="29" t="s">
        <v>54</v>
      </c>
      <c r="C22" s="8" t="s">
        <v>81</v>
      </c>
      <c r="D22" s="8" t="s">
        <v>107</v>
      </c>
      <c r="E22" s="8" t="s">
        <v>108</v>
      </c>
      <c r="F22" s="8"/>
      <c r="G22" s="8" t="s">
        <v>62</v>
      </c>
      <c r="H22" s="8" t="s">
        <v>109</v>
      </c>
      <c r="I22" s="14" t="s">
        <v>110</v>
      </c>
      <c r="J22" s="8"/>
      <c r="K22" s="8"/>
      <c r="L22" s="8"/>
      <c r="M22" s="8"/>
      <c r="N22" s="8"/>
      <c r="O22" s="8"/>
      <c r="P22" s="8"/>
      <c r="Q22" s="157"/>
      <c r="R22" s="8"/>
      <c r="S22" s="8"/>
      <c r="T22" s="8"/>
      <c r="U22" s="8"/>
      <c r="V22" s="8"/>
      <c r="W22" s="8"/>
      <c r="X22" s="8"/>
      <c r="Y22" s="8"/>
      <c r="Z22" s="8"/>
      <c r="AA22" s="8"/>
      <c r="AB22" s="8"/>
      <c r="AC22" s="314" t="str">
        <f t="shared" si="5"/>
        <v>yes</v>
      </c>
      <c r="AD22" s="314">
        <f>COUNTA(first:Last!R22)</f>
        <v>2</v>
      </c>
      <c r="AE22" s="157">
        <f>SUM(first:Last!Z22)</f>
        <v>0</v>
      </c>
      <c r="AF22" s="157" t="str">
        <f t="shared" si="6"/>
        <v>yes</v>
      </c>
      <c r="AG22" s="157">
        <f>COUNTA(Last:end!M22)</f>
        <v>2</v>
      </c>
      <c r="AH22" s="520">
        <f>COUNTA(Last:end!M22)/6</f>
        <v>0.33333333333333331</v>
      </c>
      <c r="AI22" s="157">
        <f>SUM(Last:end!O22)</f>
        <v>0</v>
      </c>
      <c r="AJ22" s="157">
        <f>MIN(Last:end!L22)</f>
        <v>0</v>
      </c>
      <c r="AK22" s="157" t="e">
        <f>IF(AND(AJ22&lt;=2023,#REF!="high interest / inadequate offer "),"yes","no")</f>
        <v>#REF!</v>
      </c>
      <c r="AL22" s="157" t="str">
        <f t="shared" si="0"/>
        <v>yes</v>
      </c>
      <c r="AM22" s="157"/>
      <c r="AN22" s="157"/>
      <c r="AO22" s="157"/>
      <c r="AP22" s="157">
        <v>1</v>
      </c>
      <c r="AQ22" s="1"/>
      <c r="AR22" s="1"/>
      <c r="AS22" s="1"/>
      <c r="AT22" s="1"/>
      <c r="AU22" s="1"/>
      <c r="AV22" s="1"/>
      <c r="AW22" s="1"/>
      <c r="AX22" s="1"/>
      <c r="AY22" s="1"/>
      <c r="AZ22" s="1"/>
      <c r="BA22" s="1"/>
      <c r="BB22" s="1"/>
      <c r="BC22" s="1"/>
      <c r="BD22" s="1"/>
      <c r="BE22" s="1"/>
      <c r="BF22" s="1"/>
      <c r="BG22" s="1"/>
      <c r="BH22" s="1"/>
      <c r="BI22" s="1"/>
      <c r="BJ22" s="1"/>
      <c r="BK22" s="1"/>
      <c r="BL22" s="1"/>
      <c r="BM22" s="1"/>
      <c r="BN22"/>
      <c r="BO22"/>
      <c r="BP22"/>
      <c r="BQ22"/>
      <c r="BR22"/>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row>
    <row r="23" spans="1:209" s="26" customFormat="1" ht="62.25" customHeight="1">
      <c r="A23" s="8" t="s">
        <v>53</v>
      </c>
      <c r="B23" s="29" t="s">
        <v>54</v>
      </c>
      <c r="C23" s="8" t="s">
        <v>81</v>
      </c>
      <c r="D23" s="8" t="s">
        <v>111</v>
      </c>
      <c r="E23" s="8" t="s">
        <v>112</v>
      </c>
      <c r="F23" s="8"/>
      <c r="G23" s="20" t="s">
        <v>62</v>
      </c>
      <c r="H23" s="20" t="s">
        <v>113</v>
      </c>
      <c r="I23" s="22">
        <v>1</v>
      </c>
      <c r="J23" s="22"/>
      <c r="K23" s="20"/>
      <c r="L23" s="22"/>
      <c r="M23" s="22"/>
      <c r="N23" s="22"/>
      <c r="O23" s="22"/>
      <c r="P23" s="20"/>
      <c r="Q23" s="520"/>
      <c r="R23" s="22"/>
      <c r="S23" s="22"/>
      <c r="T23" s="22"/>
      <c r="U23" s="22"/>
      <c r="V23" s="22"/>
      <c r="W23" s="22"/>
      <c r="X23" s="22"/>
      <c r="Y23" s="22"/>
      <c r="Z23" s="22"/>
      <c r="AA23" s="20"/>
      <c r="AB23" s="20"/>
      <c r="AC23" s="560" t="str">
        <f t="shared" si="3"/>
        <v>no</v>
      </c>
      <c r="AD23" s="560">
        <f>COUNTA(first:Last!R23)</f>
        <v>0</v>
      </c>
      <c r="AE23" s="20">
        <f>SUM(first:Last!Z23)</f>
        <v>0</v>
      </c>
      <c r="AF23" s="20" t="str">
        <f t="shared" si="4"/>
        <v>no</v>
      </c>
      <c r="AG23" s="20">
        <f>COUNTA(Last:end!M23)</f>
        <v>0</v>
      </c>
      <c r="AH23" s="22">
        <f>COUNTA(Last:end!M23)/6</f>
        <v>0</v>
      </c>
      <c r="AI23" s="20">
        <f>SUM(Last:end!O23)</f>
        <v>0</v>
      </c>
      <c r="AJ23" s="20">
        <f>MIN(Last:end!L23)</f>
        <v>0</v>
      </c>
      <c r="AK23" s="20" t="e">
        <f>IF(AND(AJ23&lt;=2023,#REF!="high interest / inadequate offer "),"yes","no")</f>
        <v>#REF!</v>
      </c>
      <c r="AL23" s="20" t="str">
        <f t="shared" si="0"/>
        <v>no</v>
      </c>
      <c r="AM23" s="157"/>
      <c r="AN23" s="157"/>
      <c r="AO23" s="157"/>
      <c r="AP23" s="157">
        <v>0</v>
      </c>
      <c r="AQ23" s="1"/>
      <c r="AR23" s="1"/>
      <c r="AS23" s="1"/>
      <c r="AT23" s="1"/>
      <c r="AU23" s="1"/>
      <c r="AV23" s="1"/>
      <c r="AW23" s="1"/>
      <c r="AX23" s="1"/>
      <c r="AY23" s="1"/>
      <c r="AZ23" s="1"/>
      <c r="BA23" s="1"/>
      <c r="BB23" s="1"/>
      <c r="BC23" s="1"/>
      <c r="BD23" s="1"/>
      <c r="BE23" s="1"/>
      <c r="BF23" s="1"/>
      <c r="BG23" s="1"/>
      <c r="BH23" s="1"/>
      <c r="BI23" s="1"/>
      <c r="BJ23" s="1"/>
      <c r="BK23" s="1"/>
      <c r="BL23" s="1"/>
      <c r="BM23" s="1"/>
      <c r="BN23" s="8" t="s">
        <v>53</v>
      </c>
      <c r="BO23" s="29" t="s">
        <v>195</v>
      </c>
      <c r="BP23" s="8" t="s">
        <v>222</v>
      </c>
      <c r="BQ23" s="8" t="s">
        <v>242</v>
      </c>
      <c r="BR23" s="69" t="s">
        <v>243</v>
      </c>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row>
    <row r="24" spans="1:209" s="26" customFormat="1" ht="62.25" customHeight="1">
      <c r="A24" s="8" t="s">
        <v>53</v>
      </c>
      <c r="B24" s="29" t="s">
        <v>54</v>
      </c>
      <c r="C24" s="8" t="s">
        <v>81</v>
      </c>
      <c r="D24" s="8" t="s">
        <v>114</v>
      </c>
      <c r="E24" s="69" t="s">
        <v>115</v>
      </c>
      <c r="F24" s="8"/>
      <c r="G24" s="8" t="s">
        <v>62</v>
      </c>
      <c r="H24" s="8" t="s">
        <v>113</v>
      </c>
      <c r="I24" s="9">
        <v>1</v>
      </c>
      <c r="J24" s="9"/>
      <c r="K24" s="11"/>
      <c r="L24" s="9"/>
      <c r="M24" s="9"/>
      <c r="N24" s="9"/>
      <c r="O24" s="9"/>
      <c r="P24" s="8"/>
      <c r="Q24" s="520"/>
      <c r="R24" s="9"/>
      <c r="S24" s="9"/>
      <c r="T24" s="9"/>
      <c r="U24" s="9"/>
      <c r="V24" s="9"/>
      <c r="W24" s="9"/>
      <c r="X24" s="9"/>
      <c r="Y24" s="9"/>
      <c r="Z24" s="9"/>
      <c r="AA24" s="8"/>
      <c r="AB24" s="8"/>
      <c r="AC24" s="314" t="str">
        <f t="shared" ref="AC24:AC29" si="7">IF(AD24&gt;0,"yes", "no")</f>
        <v>yes</v>
      </c>
      <c r="AD24" s="314">
        <f>COUNTA(first:Last!R24)</f>
        <v>1</v>
      </c>
      <c r="AE24" s="157">
        <f>SUM(first:Last!Z24)</f>
        <v>0</v>
      </c>
      <c r="AF24" s="157" t="str">
        <f t="shared" ref="AF24:AF29" si="8">IF(AH24&gt;0,"yes", "no")</f>
        <v>yes</v>
      </c>
      <c r="AG24" s="157">
        <f>COUNTA(Last:end!M24)</f>
        <v>2</v>
      </c>
      <c r="AH24" s="520">
        <f>COUNTA(Last:end!M24)/6</f>
        <v>0.33333333333333331</v>
      </c>
      <c r="AI24" s="157">
        <f>SUM(Last:end!O24)</f>
        <v>10000</v>
      </c>
      <c r="AJ24" s="157">
        <f>MIN(Last:end!L24)</f>
        <v>0</v>
      </c>
      <c r="AK24" s="157" t="e">
        <f>IF(AND(AJ24&lt;=2023,#REF!="high interest / inadequate offer "),"yes","no")</f>
        <v>#REF!</v>
      </c>
      <c r="AL24" s="157" t="str">
        <f t="shared" si="0"/>
        <v>no</v>
      </c>
      <c r="AM24" s="157"/>
      <c r="AN24" s="157"/>
      <c r="AO24" s="157"/>
      <c r="AP24" s="157">
        <v>1</v>
      </c>
      <c r="AQ24" s="1"/>
      <c r="AR24" s="1"/>
      <c r="AS24" s="1"/>
      <c r="AT24" s="1"/>
      <c r="AU24" s="1"/>
      <c r="AV24" s="1"/>
      <c r="AW24" s="1"/>
      <c r="AX24" s="1"/>
      <c r="AY24" s="1"/>
      <c r="AZ24" s="1"/>
      <c r="BA24" s="1"/>
      <c r="BB24" s="1"/>
      <c r="BC24" s="1"/>
      <c r="BD24" s="1"/>
      <c r="BE24" s="1"/>
      <c r="BF24" s="1"/>
      <c r="BG24" s="1"/>
      <c r="BH24" s="1"/>
      <c r="BI24" s="1"/>
      <c r="BJ24" s="1"/>
      <c r="BK24" s="1"/>
      <c r="BL24" s="1"/>
      <c r="BM24" s="1"/>
      <c r="BN24" s="8" t="s">
        <v>53</v>
      </c>
      <c r="BO24" s="29" t="s">
        <v>195</v>
      </c>
      <c r="BP24" s="8" t="s">
        <v>222</v>
      </c>
      <c r="BQ24" s="8" t="s">
        <v>245</v>
      </c>
      <c r="BR24" s="69" t="s">
        <v>246</v>
      </c>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row>
    <row r="25" spans="1:209" s="26" customFormat="1" ht="62.25" customHeight="1">
      <c r="A25" s="8" t="s">
        <v>53</v>
      </c>
      <c r="B25" s="29" t="s">
        <v>54</v>
      </c>
      <c r="C25" s="8" t="s">
        <v>81</v>
      </c>
      <c r="D25" s="8" t="s">
        <v>116</v>
      </c>
      <c r="E25" s="69" t="s">
        <v>117</v>
      </c>
      <c r="F25" s="8"/>
      <c r="G25" s="8" t="s">
        <v>62</v>
      </c>
      <c r="H25" s="8" t="s">
        <v>113</v>
      </c>
      <c r="I25" s="9">
        <v>1</v>
      </c>
      <c r="J25" s="9"/>
      <c r="K25" s="9"/>
      <c r="L25" s="9"/>
      <c r="M25" s="9"/>
      <c r="N25" s="9"/>
      <c r="O25" s="9"/>
      <c r="P25" s="8"/>
      <c r="Q25" s="520"/>
      <c r="R25" s="9"/>
      <c r="S25" s="9"/>
      <c r="T25" s="9"/>
      <c r="U25" s="9"/>
      <c r="V25" s="9"/>
      <c r="W25" s="9"/>
      <c r="X25" s="9"/>
      <c r="Y25" s="9"/>
      <c r="Z25" s="9"/>
      <c r="AA25" s="8"/>
      <c r="AB25" s="8"/>
      <c r="AC25" s="314" t="str">
        <f t="shared" si="7"/>
        <v>yes</v>
      </c>
      <c r="AD25" s="314">
        <f>COUNTA(first:Last!R25)</f>
        <v>1</v>
      </c>
      <c r="AE25" s="157">
        <f>SUM(first:Last!Z25)</f>
        <v>0</v>
      </c>
      <c r="AF25" s="157" t="str">
        <f t="shared" si="8"/>
        <v>yes</v>
      </c>
      <c r="AG25" s="157">
        <f>COUNTA(Last:end!M25)</f>
        <v>1</v>
      </c>
      <c r="AH25" s="520">
        <f>COUNTA(Last:end!M25)/6</f>
        <v>0.16666666666666666</v>
      </c>
      <c r="AI25" s="157">
        <f>SUM(Last:end!O25)</f>
        <v>0</v>
      </c>
      <c r="AJ25" s="157">
        <f>MIN(Last:end!L25)</f>
        <v>0</v>
      </c>
      <c r="AK25" s="157" t="e">
        <f>IF(AND(AJ25&lt;=2023,#REF!="high interest / inadequate offer "),"yes","no")</f>
        <v>#REF!</v>
      </c>
      <c r="AL25" s="157" t="str">
        <f t="shared" si="0"/>
        <v>no</v>
      </c>
      <c r="AM25" s="157"/>
      <c r="AN25" s="157"/>
      <c r="AO25" s="157"/>
      <c r="AP25" s="157">
        <v>1</v>
      </c>
      <c r="AQ25" s="1"/>
      <c r="AR25" s="1"/>
      <c r="AS25" s="1"/>
      <c r="AT25" s="1"/>
      <c r="AU25" s="1"/>
      <c r="AV25" s="1"/>
      <c r="AW25" s="1"/>
      <c r="AX25" s="1"/>
      <c r="AY25" s="1"/>
      <c r="AZ25" s="1"/>
      <c r="BA25" s="1"/>
      <c r="BB25" s="1"/>
      <c r="BC25" s="1"/>
      <c r="BD25" s="1"/>
      <c r="BE25" s="1"/>
      <c r="BF25" s="1"/>
      <c r="BG25" s="1"/>
      <c r="BH25" s="1"/>
      <c r="BI25" s="1"/>
      <c r="BJ25" s="1"/>
      <c r="BK25" s="1"/>
      <c r="BL25" s="1"/>
      <c r="BM25" s="1"/>
      <c r="BN25" s="8" t="s">
        <v>53</v>
      </c>
      <c r="BO25" s="29" t="s">
        <v>195</v>
      </c>
      <c r="BP25" s="8" t="s">
        <v>222</v>
      </c>
      <c r="BQ25" s="8" t="s">
        <v>248</v>
      </c>
      <c r="BR25" s="69" t="s">
        <v>249</v>
      </c>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row>
    <row r="26" spans="1:209" s="26" customFormat="1" ht="62.25" customHeight="1">
      <c r="A26" s="8" t="s">
        <v>53</v>
      </c>
      <c r="B26" s="29" t="s">
        <v>54</v>
      </c>
      <c r="C26" s="8" t="s">
        <v>81</v>
      </c>
      <c r="D26" s="8" t="s">
        <v>118</v>
      </c>
      <c r="E26" s="69" t="s">
        <v>119</v>
      </c>
      <c r="F26" s="8"/>
      <c r="G26" s="8" t="s">
        <v>62</v>
      </c>
      <c r="H26" s="8" t="s">
        <v>113</v>
      </c>
      <c r="I26" s="9">
        <v>1</v>
      </c>
      <c r="J26" s="9"/>
      <c r="K26" s="9"/>
      <c r="L26" s="9"/>
      <c r="M26" s="9"/>
      <c r="N26" s="9"/>
      <c r="O26" s="9"/>
      <c r="P26" s="8"/>
      <c r="Q26" s="520"/>
      <c r="R26" s="9"/>
      <c r="S26" s="9"/>
      <c r="T26" s="9"/>
      <c r="U26" s="9"/>
      <c r="V26" s="9"/>
      <c r="W26" s="9"/>
      <c r="X26" s="9"/>
      <c r="Y26" s="9"/>
      <c r="Z26" s="9"/>
      <c r="AA26" s="8"/>
      <c r="AB26" s="8"/>
      <c r="AC26" s="314" t="str">
        <f t="shared" si="7"/>
        <v>yes</v>
      </c>
      <c r="AD26" s="314">
        <f>COUNTA(first:Last!R26)</f>
        <v>1</v>
      </c>
      <c r="AE26" s="157">
        <f>SUM(first:Last!Z26)</f>
        <v>0</v>
      </c>
      <c r="AF26" s="157" t="str">
        <f t="shared" si="8"/>
        <v>yes</v>
      </c>
      <c r="AG26" s="157">
        <f>COUNTA(Last:end!M26)</f>
        <v>2</v>
      </c>
      <c r="AH26" s="520">
        <f>COUNTA(Last:end!M26)/6</f>
        <v>0.33333333333333331</v>
      </c>
      <c r="AI26" s="157">
        <f>SUM(Last:end!O26)</f>
        <v>0</v>
      </c>
      <c r="AJ26" s="157">
        <f>MIN(Last:end!L26)</f>
        <v>2023</v>
      </c>
      <c r="AK26" s="157" t="e">
        <f>IF(AND(AJ26&lt;=2023,#REF!="high interest / inadequate offer "),"yes","no")</f>
        <v>#REF!</v>
      </c>
      <c r="AL26" s="157" t="str">
        <f t="shared" si="0"/>
        <v>no</v>
      </c>
      <c r="AM26" s="157"/>
      <c r="AN26" s="157"/>
      <c r="AO26" s="157"/>
      <c r="AP26" s="157">
        <v>1</v>
      </c>
      <c r="AQ26" s="1"/>
      <c r="AR26" s="1"/>
      <c r="AS26" s="1"/>
      <c r="AT26" s="1"/>
      <c r="AU26" s="1"/>
      <c r="AV26" s="1"/>
      <c r="AW26" s="1"/>
      <c r="AX26" s="1"/>
      <c r="AY26" s="1"/>
      <c r="AZ26" s="1"/>
      <c r="BA26" s="1"/>
      <c r="BB26" s="1"/>
      <c r="BC26" s="1"/>
      <c r="BD26" s="1"/>
      <c r="BE26" s="1"/>
      <c r="BF26" s="1"/>
      <c r="BG26" s="1"/>
      <c r="BH26" s="1"/>
      <c r="BI26" s="1"/>
      <c r="BJ26" s="1"/>
      <c r="BK26" s="1"/>
      <c r="BL26" s="1"/>
      <c r="BM26" s="1"/>
      <c r="BN26" s="78" t="s">
        <v>53</v>
      </c>
      <c r="BO26" s="79" t="s">
        <v>274</v>
      </c>
      <c r="BP26" s="78" t="s">
        <v>275</v>
      </c>
      <c r="BQ26" s="78" t="s">
        <v>278</v>
      </c>
      <c r="BR26" s="80" t="s">
        <v>279</v>
      </c>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row>
    <row r="27" spans="1:209" s="26" customFormat="1" ht="62.25" customHeight="1">
      <c r="A27" s="8" t="s">
        <v>53</v>
      </c>
      <c r="B27" s="29" t="s">
        <v>54</v>
      </c>
      <c r="C27" s="8" t="s">
        <v>81</v>
      </c>
      <c r="D27" s="8" t="s">
        <v>120</v>
      </c>
      <c r="E27" s="69" t="s">
        <v>121</v>
      </c>
      <c r="F27" s="8"/>
      <c r="G27" s="8" t="s">
        <v>62</v>
      </c>
      <c r="H27" s="8" t="s">
        <v>113</v>
      </c>
      <c r="I27" s="9">
        <v>1</v>
      </c>
      <c r="J27" s="9"/>
      <c r="K27" s="9"/>
      <c r="L27" s="9"/>
      <c r="M27" s="9"/>
      <c r="N27" s="9"/>
      <c r="O27" s="9"/>
      <c r="P27" s="8"/>
      <c r="Q27" s="520"/>
      <c r="R27" s="9"/>
      <c r="S27" s="9"/>
      <c r="T27" s="9"/>
      <c r="U27" s="9"/>
      <c r="V27" s="9"/>
      <c r="W27" s="9"/>
      <c r="X27" s="9"/>
      <c r="Y27" s="9"/>
      <c r="Z27" s="9"/>
      <c r="AA27" s="8"/>
      <c r="AB27" s="8"/>
      <c r="AC27" s="314" t="str">
        <f t="shared" si="7"/>
        <v>no</v>
      </c>
      <c r="AD27" s="314">
        <f>COUNTA(first:Last!R27)</f>
        <v>0</v>
      </c>
      <c r="AE27" s="157">
        <f>SUM(first:Last!Z27)</f>
        <v>0</v>
      </c>
      <c r="AF27" s="157" t="str">
        <f t="shared" si="8"/>
        <v>yes</v>
      </c>
      <c r="AG27" s="157">
        <f>COUNTA(Last:end!M27)</f>
        <v>2</v>
      </c>
      <c r="AH27" s="520">
        <f>COUNTA(Last:end!M27)/6</f>
        <v>0.33333333333333331</v>
      </c>
      <c r="AI27" s="157">
        <f>SUM(Last:end!O27)</f>
        <v>0</v>
      </c>
      <c r="AJ27" s="157">
        <f>MIN(Last:end!L27)</f>
        <v>2023</v>
      </c>
      <c r="AK27" s="157" t="e">
        <f>IF(AND(AJ27&lt;=2023,#REF!="high interest / inadequate offer "),"yes","no")</f>
        <v>#REF!</v>
      </c>
      <c r="AL27" s="157" t="str">
        <f t="shared" si="0"/>
        <v>no</v>
      </c>
      <c r="AM27" s="157"/>
      <c r="AN27" s="157"/>
      <c r="AO27" s="157"/>
      <c r="AP27" s="157">
        <v>1</v>
      </c>
      <c r="AQ27" s="1"/>
      <c r="AR27" s="1"/>
      <c r="AS27" s="1"/>
      <c r="AT27" s="1"/>
      <c r="AU27" s="1"/>
      <c r="AV27" s="1"/>
      <c r="AW27" s="1"/>
      <c r="AX27" s="1"/>
      <c r="AY27" s="1"/>
      <c r="AZ27" s="1"/>
      <c r="BA27" s="1"/>
      <c r="BB27" s="1"/>
      <c r="BC27" s="1"/>
      <c r="BD27" s="1"/>
      <c r="BE27" s="1"/>
      <c r="BF27" s="1"/>
      <c r="BG27" s="1"/>
      <c r="BH27" s="1"/>
      <c r="BI27" s="1"/>
      <c r="BJ27" s="1"/>
      <c r="BK27" s="1"/>
      <c r="BL27" s="1"/>
      <c r="BM27" s="1"/>
      <c r="BN27" s="1"/>
      <c r="BO27" s="34"/>
      <c r="BP27" s="1"/>
      <c r="BQ27" s="1"/>
      <c r="BR27" s="593"/>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row>
    <row r="28" spans="1:209" s="26" customFormat="1" ht="110.25">
      <c r="A28" s="8" t="s">
        <v>53</v>
      </c>
      <c r="B28" s="29" t="s">
        <v>54</v>
      </c>
      <c r="C28" s="8" t="s">
        <v>81</v>
      </c>
      <c r="D28" s="8" t="s">
        <v>122</v>
      </c>
      <c r="E28" s="8" t="s">
        <v>123</v>
      </c>
      <c r="F28" s="8"/>
      <c r="G28" s="8" t="s">
        <v>71</v>
      </c>
      <c r="H28" s="8" t="s">
        <v>124</v>
      </c>
      <c r="I28" s="9">
        <v>1</v>
      </c>
      <c r="J28" s="8"/>
      <c r="K28" s="8"/>
      <c r="L28" s="8"/>
      <c r="M28" s="8"/>
      <c r="N28" s="8"/>
      <c r="O28" s="8"/>
      <c r="P28" s="8"/>
      <c r="Q28" s="157"/>
      <c r="R28" s="8"/>
      <c r="S28" s="8"/>
      <c r="T28" s="8"/>
      <c r="U28" s="8"/>
      <c r="V28" s="8"/>
      <c r="W28" s="8"/>
      <c r="X28" s="8"/>
      <c r="Y28" s="8"/>
      <c r="Z28" s="8"/>
      <c r="AA28" s="8"/>
      <c r="AB28" s="8"/>
      <c r="AC28" s="314" t="str">
        <f t="shared" si="7"/>
        <v>yes</v>
      </c>
      <c r="AD28" s="314">
        <f>COUNTA(first:Last!R28)</f>
        <v>1</v>
      </c>
      <c r="AE28" s="157">
        <f>SUM(first:Last!Z28)</f>
        <v>0</v>
      </c>
      <c r="AF28" s="157" t="str">
        <f t="shared" si="8"/>
        <v>yes</v>
      </c>
      <c r="AG28" s="157">
        <f>COUNTA(Last:end!M28)</f>
        <v>1</v>
      </c>
      <c r="AH28" s="520">
        <f>COUNTA(Last:end!M28)/6</f>
        <v>0.16666666666666666</v>
      </c>
      <c r="AI28" s="157">
        <f>SUM(Last:end!O28)</f>
        <v>0</v>
      </c>
      <c r="AJ28" s="157">
        <f>MIN(Last:end!L28)</f>
        <v>0</v>
      </c>
      <c r="AK28" s="157" t="e">
        <f>IF(AND(AJ28&lt;=2023,#REF!="high interest / inadequate offer "),"yes","no")</f>
        <v>#REF!</v>
      </c>
      <c r="AL28" s="157" t="str">
        <f t="shared" si="0"/>
        <v>no</v>
      </c>
      <c r="AM28" s="157"/>
      <c r="AN28" s="157"/>
      <c r="AO28" s="157"/>
      <c r="AP28" s="157">
        <v>1</v>
      </c>
      <c r="AQ28" s="1"/>
      <c r="AR28" s="1"/>
      <c r="AS28" s="1"/>
      <c r="AT28" s="1"/>
      <c r="AU28" s="1"/>
      <c r="AV28" s="1"/>
      <c r="AW28" s="1"/>
      <c r="AX28" s="1"/>
      <c r="AY28" s="1"/>
      <c r="AZ28" s="1"/>
      <c r="BA28" s="1"/>
      <c r="BB28" s="1"/>
      <c r="BC28" s="1"/>
      <c r="BD28" s="1"/>
      <c r="BE28" s="1"/>
      <c r="BF28" s="1"/>
      <c r="BG28" s="1"/>
      <c r="BH28" s="1"/>
      <c r="BI28" s="1"/>
      <c r="BJ28" s="1"/>
      <c r="BK28" s="1"/>
      <c r="BL28" s="1"/>
      <c r="BM28" s="1"/>
      <c r="BN28" s="84" t="s">
        <v>53</v>
      </c>
      <c r="BO28" s="85" t="s">
        <v>274</v>
      </c>
      <c r="BP28" s="84" t="s">
        <v>275</v>
      </c>
      <c r="BQ28" s="84" t="s">
        <v>283</v>
      </c>
      <c r="BR28" s="616" t="s">
        <v>284</v>
      </c>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row>
    <row r="29" spans="1:209" s="26" customFormat="1" ht="110.25">
      <c r="A29" s="8" t="s">
        <v>53</v>
      </c>
      <c r="B29" s="29" t="s">
        <v>54</v>
      </c>
      <c r="C29" s="8" t="s">
        <v>81</v>
      </c>
      <c r="D29" s="8" t="s">
        <v>125</v>
      </c>
      <c r="E29" s="8" t="s">
        <v>126</v>
      </c>
      <c r="F29" s="8"/>
      <c r="G29" s="8" t="s">
        <v>71</v>
      </c>
      <c r="H29" s="8" t="s">
        <v>127</v>
      </c>
      <c r="I29" s="9">
        <v>1</v>
      </c>
      <c r="J29" s="8"/>
      <c r="K29" s="8"/>
      <c r="L29" s="8"/>
      <c r="M29" s="8"/>
      <c r="N29" s="8"/>
      <c r="O29" s="8"/>
      <c r="P29" s="8"/>
      <c r="Q29" s="157"/>
      <c r="R29" s="8"/>
      <c r="S29" s="8"/>
      <c r="T29" s="8"/>
      <c r="U29" s="8"/>
      <c r="V29" s="8"/>
      <c r="W29" s="8"/>
      <c r="X29" s="8"/>
      <c r="Y29" s="8"/>
      <c r="Z29" s="8"/>
      <c r="AA29" s="8"/>
      <c r="AB29" s="8"/>
      <c r="AC29" s="314" t="str">
        <f t="shared" si="7"/>
        <v>yes</v>
      </c>
      <c r="AD29" s="314">
        <f>COUNTA(first:Last!R29)</f>
        <v>1</v>
      </c>
      <c r="AE29" s="157">
        <f>SUM(first:Last!Z29)</f>
        <v>35000</v>
      </c>
      <c r="AF29" s="157" t="str">
        <f t="shared" si="8"/>
        <v>yes</v>
      </c>
      <c r="AG29" s="157">
        <f>COUNTA(Last:end!M29)</f>
        <v>1</v>
      </c>
      <c r="AH29" s="520">
        <f>COUNTA(Last:end!M29)/6</f>
        <v>0.16666666666666666</v>
      </c>
      <c r="AI29" s="157">
        <f>SUM(Last:end!O29)</f>
        <v>0</v>
      </c>
      <c r="AJ29" s="157">
        <f>MIN(Last:end!L29)</f>
        <v>0</v>
      </c>
      <c r="AK29" s="157" t="e">
        <f>IF(AND(AJ29&lt;=2023,#REF!="high interest / inadequate offer "),"yes","no")</f>
        <v>#REF!</v>
      </c>
      <c r="AL29" s="157" t="str">
        <f t="shared" si="0"/>
        <v>no</v>
      </c>
      <c r="AM29" s="157"/>
      <c r="AN29" s="157"/>
      <c r="AO29" s="157"/>
      <c r="AP29" s="157">
        <v>1</v>
      </c>
      <c r="AQ29" s="1"/>
      <c r="AR29" s="1"/>
      <c r="AS29" s="1"/>
      <c r="AT29" s="1"/>
      <c r="AU29" s="1"/>
      <c r="AV29" s="1"/>
      <c r="AW29" s="1"/>
      <c r="AX29" s="1"/>
      <c r="AY29" s="1"/>
      <c r="AZ29" s="1"/>
      <c r="BA29" s="1"/>
      <c r="BB29" s="1"/>
      <c r="BC29" s="1"/>
      <c r="BD29" s="1"/>
      <c r="BE29" s="1"/>
      <c r="BF29" s="1"/>
      <c r="BG29" s="1"/>
      <c r="BH29" s="1"/>
      <c r="BI29" s="1"/>
      <c r="BJ29" s="1"/>
      <c r="BK29" s="1"/>
      <c r="BL29" s="1"/>
      <c r="BM29" s="1"/>
      <c r="BN29" s="8" t="s">
        <v>53</v>
      </c>
      <c r="BO29" s="29" t="s">
        <v>274</v>
      </c>
      <c r="BP29" s="8" t="s">
        <v>275</v>
      </c>
      <c r="BQ29" s="8" t="s">
        <v>286</v>
      </c>
      <c r="BR29" s="69" t="s">
        <v>284</v>
      </c>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row>
    <row r="30" spans="1:209" s="26" customFormat="1" ht="62.25" customHeight="1">
      <c r="A30" s="8" t="s">
        <v>53</v>
      </c>
      <c r="B30" s="29" t="s">
        <v>54</v>
      </c>
      <c r="C30" s="8" t="s">
        <v>128</v>
      </c>
      <c r="D30" s="8" t="s">
        <v>129</v>
      </c>
      <c r="E30" s="63" t="s">
        <v>130</v>
      </c>
      <c r="F30" s="8"/>
      <c r="G30" s="64" t="s">
        <v>131</v>
      </c>
      <c r="H30" s="64"/>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20">
        <f>COUNTA(Last:end!M30)</f>
        <v>0</v>
      </c>
      <c r="AH30" s="22">
        <f>COUNTA(Last:end!M30)/6</f>
        <v>0</v>
      </c>
      <c r="AI30" s="65"/>
      <c r="AJ30" s="20">
        <f>MIN(Last:end!L30)</f>
        <v>0</v>
      </c>
      <c r="AK30" s="20" t="e">
        <f>IF(AND(AJ30&lt;=2023,#REF!="high interest / inadequate offer "),"yes","no")</f>
        <v>#REF!</v>
      </c>
      <c r="AL30" s="20" t="str">
        <f t="shared" si="0"/>
        <v>no</v>
      </c>
      <c r="AM30" s="157"/>
      <c r="AN30" s="157"/>
      <c r="AO30" s="157"/>
      <c r="AP30" s="157">
        <v>0</v>
      </c>
      <c r="AQ30" s="1"/>
      <c r="AR30" s="1"/>
      <c r="AS30" s="1"/>
      <c r="AT30" s="1"/>
      <c r="AU30" s="1"/>
      <c r="AV30" s="1"/>
      <c r="AW30" s="1"/>
      <c r="AX30" s="1"/>
      <c r="AY30" s="1"/>
      <c r="AZ30" s="1"/>
      <c r="BA30" s="1"/>
      <c r="BB30" s="1"/>
      <c r="BC30" s="1"/>
      <c r="BD30" s="1"/>
      <c r="BE30" s="1"/>
      <c r="BF30" s="1"/>
      <c r="BG30" s="1"/>
      <c r="BH30" s="1"/>
      <c r="BI30" s="1"/>
      <c r="BJ30" s="1"/>
      <c r="BK30" s="1"/>
      <c r="BL30" s="1"/>
      <c r="BM30" s="1"/>
      <c r="BN30" s="8" t="s">
        <v>53</v>
      </c>
      <c r="BO30" s="29" t="s">
        <v>274</v>
      </c>
      <c r="BP30" s="8" t="s">
        <v>275</v>
      </c>
      <c r="BQ30" s="8" t="s">
        <v>288</v>
      </c>
      <c r="BR30" s="69" t="s">
        <v>289</v>
      </c>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row>
    <row r="31" spans="1:209" s="26" customFormat="1" ht="62.25" customHeight="1">
      <c r="A31" s="8" t="s">
        <v>53</v>
      </c>
      <c r="B31" s="29" t="s">
        <v>54</v>
      </c>
      <c r="C31" s="8" t="s">
        <v>128</v>
      </c>
      <c r="D31" s="8" t="s">
        <v>132</v>
      </c>
      <c r="E31" s="69" t="s">
        <v>133</v>
      </c>
      <c r="F31" s="8"/>
      <c r="G31" s="8" t="s">
        <v>131</v>
      </c>
      <c r="H31" s="8" t="s">
        <v>134</v>
      </c>
      <c r="I31" s="8" t="s">
        <v>135</v>
      </c>
      <c r="J31" s="8"/>
      <c r="K31" s="8"/>
      <c r="L31" s="8"/>
      <c r="M31" s="8"/>
      <c r="N31" s="8"/>
      <c r="O31" s="8"/>
      <c r="P31" s="8"/>
      <c r="Q31" s="157"/>
      <c r="R31" s="8"/>
      <c r="S31" s="8"/>
      <c r="T31" s="8"/>
      <c r="U31" s="8"/>
      <c r="V31" s="8"/>
      <c r="W31" s="8"/>
      <c r="X31" s="8"/>
      <c r="Y31" s="8"/>
      <c r="Z31" s="8"/>
      <c r="AA31" s="8"/>
      <c r="AB31" s="8"/>
      <c r="AC31" s="314" t="str">
        <f t="shared" ref="AC31:AC33" si="9">IF(AD31&gt;0,"yes", "no")</f>
        <v>yes</v>
      </c>
      <c r="AD31" s="314">
        <f>COUNTA(first:Last!R31)</f>
        <v>2</v>
      </c>
      <c r="AE31" s="157">
        <f>SUM(first:Last!Z31)</f>
        <v>0</v>
      </c>
      <c r="AF31" s="157" t="str">
        <f t="shared" ref="AF31:AF33" si="10">IF(AH31&gt;0,"yes", "no")</f>
        <v>yes</v>
      </c>
      <c r="AG31" s="157">
        <f>COUNTA(Last:end!M31)</f>
        <v>3</v>
      </c>
      <c r="AH31" s="520">
        <f>COUNTA(Last:end!M31)/6</f>
        <v>0.5</v>
      </c>
      <c r="AI31" s="157">
        <f>SUM(Last:end!O31)</f>
        <v>25000</v>
      </c>
      <c r="AJ31" s="157">
        <f>MIN(Last:end!L31)</f>
        <v>0</v>
      </c>
      <c r="AK31" s="157" t="e">
        <f>IF(AND(AJ31&lt;=2023,#REF!="high interest / inadequate offer "),"yes","no")</f>
        <v>#REF!</v>
      </c>
      <c r="AL31" s="157" t="str">
        <f t="shared" si="0"/>
        <v>yes</v>
      </c>
      <c r="AM31" s="157"/>
      <c r="AN31" s="157"/>
      <c r="AO31" s="157"/>
      <c r="AP31" s="157">
        <v>1</v>
      </c>
      <c r="AQ31" s="1"/>
      <c r="AR31" s="1"/>
      <c r="AS31" s="1"/>
      <c r="AT31" s="1"/>
      <c r="AU31" s="1"/>
      <c r="AV31" s="1"/>
      <c r="AW31" s="1"/>
      <c r="AX31" s="1"/>
      <c r="AY31" s="1"/>
      <c r="AZ31" s="1"/>
      <c r="BA31" s="1"/>
      <c r="BB31" s="1"/>
      <c r="BC31" s="1"/>
      <c r="BD31" s="1"/>
      <c r="BE31" s="1"/>
      <c r="BF31" s="1"/>
      <c r="BG31" s="1"/>
      <c r="BH31" s="1"/>
      <c r="BI31" s="1"/>
      <c r="BJ31" s="1"/>
      <c r="BK31" s="1"/>
      <c r="BL31" s="1"/>
      <c r="BM31" s="1"/>
      <c r="BN31"/>
      <c r="BO31"/>
      <c r="BP31"/>
      <c r="BQ31"/>
      <c r="BR3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row>
    <row r="32" spans="1:209" s="26" customFormat="1" ht="62.25" customHeight="1">
      <c r="A32" s="8" t="s">
        <v>53</v>
      </c>
      <c r="B32" s="29" t="s">
        <v>54</v>
      </c>
      <c r="C32" s="8" t="s">
        <v>128</v>
      </c>
      <c r="D32" s="8" t="s">
        <v>136</v>
      </c>
      <c r="E32" s="69" t="s">
        <v>137</v>
      </c>
      <c r="F32" s="8"/>
      <c r="G32" s="8" t="s">
        <v>131</v>
      </c>
      <c r="H32" s="8" t="s">
        <v>138</v>
      </c>
      <c r="I32" s="8" t="s">
        <v>139</v>
      </c>
      <c r="J32" s="8"/>
      <c r="K32" s="8"/>
      <c r="L32" s="8"/>
      <c r="M32" s="8"/>
      <c r="N32" s="8"/>
      <c r="O32" s="8"/>
      <c r="P32" s="8"/>
      <c r="Q32" s="157"/>
      <c r="R32" s="8"/>
      <c r="S32" s="8"/>
      <c r="T32" s="8"/>
      <c r="U32" s="8"/>
      <c r="V32" s="8"/>
      <c r="W32" s="8"/>
      <c r="X32" s="8"/>
      <c r="Y32" s="8"/>
      <c r="Z32" s="8"/>
      <c r="AA32" s="8"/>
      <c r="AB32" s="8"/>
      <c r="AC32" s="314" t="str">
        <f t="shared" si="9"/>
        <v>yes</v>
      </c>
      <c r="AD32" s="314">
        <f>COUNTA(first:Last!R32)</f>
        <v>1</v>
      </c>
      <c r="AE32" s="157">
        <f>SUM(first:Last!Z32)</f>
        <v>0</v>
      </c>
      <c r="AF32" s="157" t="str">
        <f t="shared" si="10"/>
        <v>yes</v>
      </c>
      <c r="AG32" s="157">
        <f>COUNTA(Last:end!M32)</f>
        <v>3</v>
      </c>
      <c r="AH32" s="520">
        <f>COUNTA(Last:end!M32)/6</f>
        <v>0.5</v>
      </c>
      <c r="AI32" s="157">
        <f>SUM(Last:end!O32)</f>
        <v>0</v>
      </c>
      <c r="AJ32" s="157">
        <f>MIN(Last:end!L32)</f>
        <v>0</v>
      </c>
      <c r="AK32" s="157" t="e">
        <f>IF(AND(AJ32&lt;=2023,#REF!="high interest / inadequate offer "),"yes","no")</f>
        <v>#REF!</v>
      </c>
      <c r="AL32" s="157" t="str">
        <f t="shared" si="0"/>
        <v>no</v>
      </c>
      <c r="AM32" s="157"/>
      <c r="AN32" s="157"/>
      <c r="AO32" s="157"/>
      <c r="AP32" s="157">
        <v>1</v>
      </c>
      <c r="AQ32" s="1"/>
      <c r="AR32" s="1"/>
      <c r="AS32" s="1"/>
      <c r="AT32" s="1"/>
      <c r="AU32" s="1"/>
      <c r="AV32" s="1"/>
      <c r="AW32" s="1"/>
      <c r="AX32" s="1"/>
      <c r="AY32" s="1"/>
      <c r="AZ32" s="1"/>
      <c r="BA32" s="1"/>
      <c r="BB32" s="1"/>
      <c r="BC32" s="1"/>
      <c r="BD32" s="1"/>
      <c r="BE32" s="1"/>
      <c r="BF32" s="1"/>
      <c r="BG32" s="1"/>
      <c r="BH32" s="1"/>
      <c r="BI32" s="1"/>
      <c r="BJ32" s="1"/>
      <c r="BK32" s="1"/>
      <c r="BL32" s="1"/>
      <c r="BM32" s="1"/>
      <c r="BN32" s="8" t="s">
        <v>53</v>
      </c>
      <c r="BO32" s="29" t="s">
        <v>274</v>
      </c>
      <c r="BP32" s="8" t="s">
        <v>298</v>
      </c>
      <c r="BQ32" s="8" t="s">
        <v>301</v>
      </c>
      <c r="BR32" s="69" t="s">
        <v>302</v>
      </c>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row>
    <row r="33" spans="1:209" s="26" customFormat="1" ht="62.25" customHeight="1">
      <c r="A33" s="8" t="s">
        <v>53</v>
      </c>
      <c r="B33" s="29" t="s">
        <v>54</v>
      </c>
      <c r="C33" s="8" t="s">
        <v>128</v>
      </c>
      <c r="D33" s="8" t="s">
        <v>140</v>
      </c>
      <c r="E33" s="69" t="s">
        <v>141</v>
      </c>
      <c r="F33" s="8"/>
      <c r="G33" s="8" t="s">
        <v>131</v>
      </c>
      <c r="H33" s="8" t="s">
        <v>142</v>
      </c>
      <c r="I33" s="8" t="s">
        <v>143</v>
      </c>
      <c r="J33" s="8"/>
      <c r="K33" s="8"/>
      <c r="L33" s="8"/>
      <c r="M33" s="8"/>
      <c r="N33" s="8"/>
      <c r="O33" s="8"/>
      <c r="P33" s="8"/>
      <c r="Q33" s="157"/>
      <c r="R33" s="8"/>
      <c r="S33" s="8"/>
      <c r="T33" s="8"/>
      <c r="U33" s="8"/>
      <c r="V33" s="8"/>
      <c r="W33" s="8"/>
      <c r="X33" s="8"/>
      <c r="Y33" s="8"/>
      <c r="Z33" s="8"/>
      <c r="AA33" s="8"/>
      <c r="AB33" s="8"/>
      <c r="AC33" s="314" t="str">
        <f t="shared" si="9"/>
        <v>yes</v>
      </c>
      <c r="AD33" s="314">
        <f>COUNTA(first:Last!R33)</f>
        <v>4</v>
      </c>
      <c r="AE33" s="157">
        <f>SUM(first:Last!Z33)</f>
        <v>0</v>
      </c>
      <c r="AF33" s="157" t="str">
        <f t="shared" si="10"/>
        <v>yes</v>
      </c>
      <c r="AG33" s="157">
        <f>COUNTA(Last:end!M33)</f>
        <v>3</v>
      </c>
      <c r="AH33" s="520">
        <f>COUNTA(Last:end!M33)/6</f>
        <v>0.5</v>
      </c>
      <c r="AI33" s="157">
        <f>SUM(Last:end!O33)</f>
        <v>0</v>
      </c>
      <c r="AJ33" s="157">
        <f>MIN(Last:end!L33)</f>
        <v>0</v>
      </c>
      <c r="AK33" s="157" t="e">
        <f>IF(AND(AJ33&lt;=2023,#REF!="high interest / inadequate offer "),"yes","no")</f>
        <v>#REF!</v>
      </c>
      <c r="AL33" s="157" t="str">
        <f t="shared" si="0"/>
        <v>yes</v>
      </c>
      <c r="AM33" s="157"/>
      <c r="AN33" s="157"/>
      <c r="AO33" s="157"/>
      <c r="AP33" s="157">
        <v>1</v>
      </c>
      <c r="AQ33" s="1"/>
      <c r="AR33" s="1"/>
      <c r="AS33" s="1"/>
      <c r="AT33" s="1"/>
      <c r="AU33" s="1"/>
      <c r="AV33" s="1"/>
      <c r="AW33" s="1"/>
      <c r="AX33" s="1"/>
      <c r="AY33" s="1"/>
      <c r="AZ33" s="1"/>
      <c r="BA33" s="1"/>
      <c r="BB33" s="1"/>
      <c r="BC33" s="1"/>
      <c r="BD33" s="1"/>
      <c r="BE33" s="1"/>
      <c r="BF33" s="1"/>
      <c r="BG33" s="1"/>
      <c r="BH33" s="1"/>
      <c r="BI33" s="1"/>
      <c r="BJ33" s="1"/>
      <c r="BK33" s="1"/>
      <c r="BL33" s="1"/>
      <c r="BM33" s="1"/>
      <c r="BN33"/>
      <c r="BO33"/>
      <c r="BP33"/>
      <c r="BQ33"/>
      <c r="BR33"/>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row>
    <row r="34" spans="1:209" s="26" customFormat="1" ht="62.25" customHeight="1">
      <c r="A34" s="8" t="s">
        <v>53</v>
      </c>
      <c r="B34" s="29" t="s">
        <v>54</v>
      </c>
      <c r="C34" s="8" t="s">
        <v>128</v>
      </c>
      <c r="D34" s="8" t="s">
        <v>144</v>
      </c>
      <c r="E34" s="12" t="s">
        <v>145</v>
      </c>
      <c r="F34" s="8"/>
      <c r="G34" s="64" t="s">
        <v>131</v>
      </c>
      <c r="H34" s="64"/>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20">
        <f>COUNTA(Last:end!M34)</f>
        <v>0</v>
      </c>
      <c r="AH34" s="22">
        <f>COUNTA(Last:end!M34)/6</f>
        <v>0</v>
      </c>
      <c r="AI34" s="65"/>
      <c r="AJ34" s="20">
        <f>MIN(Last:end!L34)</f>
        <v>0</v>
      </c>
      <c r="AK34" s="20" t="e">
        <f>IF(AND(AJ34&lt;=2023,#REF!="high interest / inadequate offer "),"yes","no")</f>
        <v>#REF!</v>
      </c>
      <c r="AL34" s="20" t="str">
        <f t="shared" si="0"/>
        <v>no</v>
      </c>
      <c r="AM34" s="157"/>
      <c r="AN34" s="157"/>
      <c r="AO34" s="157"/>
      <c r="AP34" s="157">
        <v>0</v>
      </c>
      <c r="AQ34" s="1"/>
      <c r="AR34" s="1"/>
      <c r="AS34" s="1"/>
      <c r="AT34" s="1"/>
      <c r="AU34" s="1"/>
      <c r="AV34" s="1"/>
      <c r="AW34" s="1"/>
      <c r="AX34" s="1"/>
      <c r="AY34" s="1"/>
      <c r="AZ34" s="1"/>
      <c r="BA34" s="1"/>
      <c r="BB34" s="1"/>
      <c r="BC34" s="1"/>
      <c r="BD34" s="1"/>
      <c r="BE34" s="1"/>
      <c r="BF34" s="1"/>
      <c r="BG34" s="1"/>
      <c r="BH34" s="1"/>
      <c r="BI34" s="1"/>
      <c r="BJ34" s="1"/>
      <c r="BK34" s="1"/>
      <c r="BL34" s="1"/>
      <c r="BM34" s="1"/>
      <c r="BN34" s="8" t="s">
        <v>53</v>
      </c>
      <c r="BO34" s="29" t="s">
        <v>274</v>
      </c>
      <c r="BP34" s="8" t="s">
        <v>298</v>
      </c>
      <c r="BQ34" s="8" t="s">
        <v>313</v>
      </c>
      <c r="BR34" s="8" t="s">
        <v>314</v>
      </c>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row>
    <row r="35" spans="1:209" s="26" customFormat="1" ht="62.25" customHeight="1">
      <c r="A35" s="8" t="s">
        <v>53</v>
      </c>
      <c r="B35" s="29" t="s">
        <v>54</v>
      </c>
      <c r="C35" s="8" t="s">
        <v>128</v>
      </c>
      <c r="D35" s="8" t="s">
        <v>146</v>
      </c>
      <c r="E35" s="69" t="s">
        <v>147</v>
      </c>
      <c r="F35" s="8"/>
      <c r="G35" s="8" t="s">
        <v>131</v>
      </c>
      <c r="H35" s="12" t="s">
        <v>148</v>
      </c>
      <c r="I35" s="8" t="s">
        <v>149</v>
      </c>
      <c r="J35" s="12"/>
      <c r="K35" s="12"/>
      <c r="L35" s="12"/>
      <c r="M35" s="12"/>
      <c r="N35" s="12"/>
      <c r="O35" s="12"/>
      <c r="P35" s="8"/>
      <c r="Q35" s="549"/>
      <c r="R35" s="12"/>
      <c r="S35" s="12"/>
      <c r="T35" s="12"/>
      <c r="U35" s="12"/>
      <c r="V35" s="12"/>
      <c r="W35" s="12"/>
      <c r="X35" s="12"/>
      <c r="Y35" s="12"/>
      <c r="Z35" s="12"/>
      <c r="AA35" s="8"/>
      <c r="AB35" s="8"/>
      <c r="AC35" s="314" t="str">
        <f t="shared" ref="AC35:AC36" si="11">IF(AD35&gt;0,"yes", "no")</f>
        <v>yes</v>
      </c>
      <c r="AD35" s="314">
        <f>COUNTA(first:Last!R35)</f>
        <v>1</v>
      </c>
      <c r="AE35" s="157">
        <f>SUM(first:Last!Z35)</f>
        <v>0</v>
      </c>
      <c r="AF35" s="157" t="str">
        <f t="shared" ref="AF35:AF36" si="12">IF(AH35&gt;0,"yes", "no")</f>
        <v>yes</v>
      </c>
      <c r="AG35" s="157">
        <f>COUNTA(Last:end!M35)</f>
        <v>4</v>
      </c>
      <c r="AH35" s="520">
        <f>COUNTA(Last:end!M35)/6</f>
        <v>0.66666666666666663</v>
      </c>
      <c r="AI35" s="157">
        <f>SUM(Last:end!O35)</f>
        <v>8000</v>
      </c>
      <c r="AJ35" s="157">
        <f>MIN(Last:end!L35)</f>
        <v>2023</v>
      </c>
      <c r="AK35" s="157" t="e">
        <f>IF(AND(AJ35&lt;=2023,#REF!="high interest / inadequate offer "),"yes","no")</f>
        <v>#REF!</v>
      </c>
      <c r="AL35" s="157" t="str">
        <f t="shared" si="0"/>
        <v>no</v>
      </c>
      <c r="AM35" s="157"/>
      <c r="AN35" s="157"/>
      <c r="AO35" s="157"/>
      <c r="AP35" s="157">
        <v>1</v>
      </c>
      <c r="AQ35" s="1"/>
      <c r="AR35" s="1"/>
      <c r="AS35" s="1"/>
      <c r="AT35" s="1"/>
      <c r="AU35" s="1"/>
      <c r="AV35" s="1"/>
      <c r="AW35" s="1"/>
      <c r="AX35" s="1"/>
      <c r="AY35" s="1"/>
      <c r="AZ35" s="1"/>
      <c r="BA35" s="1"/>
      <c r="BB35" s="1"/>
      <c r="BC35" s="1"/>
      <c r="BD35" s="1"/>
      <c r="BE35" s="1"/>
      <c r="BF35" s="1"/>
      <c r="BG35" s="1"/>
      <c r="BH35" s="1"/>
      <c r="BI35" s="1"/>
      <c r="BJ35" s="1"/>
      <c r="BK35" s="1"/>
      <c r="BL35" s="1"/>
      <c r="BM35" s="1"/>
      <c r="BN35" s="8" t="s">
        <v>53</v>
      </c>
      <c r="BO35" s="29" t="s">
        <v>336</v>
      </c>
      <c r="BP35" s="8" t="s">
        <v>337</v>
      </c>
      <c r="BQ35" s="8" t="s">
        <v>340</v>
      </c>
      <c r="BR35" s="69" t="s">
        <v>341</v>
      </c>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row>
    <row r="36" spans="1:209" s="26" customFormat="1" ht="62.25" customHeight="1">
      <c r="A36" s="8" t="s">
        <v>53</v>
      </c>
      <c r="B36" s="29" t="s">
        <v>54</v>
      </c>
      <c r="C36" s="8" t="s">
        <v>128</v>
      </c>
      <c r="D36" s="8" t="s">
        <v>150</v>
      </c>
      <c r="E36" s="69" t="s">
        <v>151</v>
      </c>
      <c r="F36" s="8"/>
      <c r="G36" s="8" t="s">
        <v>131</v>
      </c>
      <c r="H36" s="12" t="s">
        <v>152</v>
      </c>
      <c r="I36" s="8" t="s">
        <v>153</v>
      </c>
      <c r="J36" s="8"/>
      <c r="K36" s="8"/>
      <c r="L36" s="8"/>
      <c r="M36" s="8"/>
      <c r="N36" s="8"/>
      <c r="O36" s="8"/>
      <c r="P36" s="8"/>
      <c r="Q36" s="157"/>
      <c r="R36" s="8"/>
      <c r="S36" s="8"/>
      <c r="T36" s="8"/>
      <c r="U36" s="8"/>
      <c r="V36" s="8"/>
      <c r="W36" s="8"/>
      <c r="X36" s="8"/>
      <c r="Y36" s="8"/>
      <c r="Z36" s="8"/>
      <c r="AA36" s="8"/>
      <c r="AB36" s="8"/>
      <c r="AC36" s="314" t="str">
        <f t="shared" si="11"/>
        <v>yes</v>
      </c>
      <c r="AD36" s="314">
        <f>COUNTA(first:Last!R36)</f>
        <v>1</v>
      </c>
      <c r="AE36" s="157">
        <f>SUM(first:Last!Z36)</f>
        <v>3500</v>
      </c>
      <c r="AF36" s="157" t="str">
        <f t="shared" si="12"/>
        <v>yes</v>
      </c>
      <c r="AG36" s="157">
        <f>COUNTA(Last:end!M36)</f>
        <v>3</v>
      </c>
      <c r="AH36" s="520">
        <f>COUNTA(Last:end!M36)/6</f>
        <v>0.5</v>
      </c>
      <c r="AI36" s="157">
        <f>SUM(Last:end!O36)</f>
        <v>25000</v>
      </c>
      <c r="AJ36" s="157">
        <f>MIN(Last:end!L36)</f>
        <v>2023</v>
      </c>
      <c r="AK36" s="157" t="e">
        <f>IF(AND(AJ36&lt;=2023,#REF!="high interest / inadequate offer "),"yes","no")</f>
        <v>#REF!</v>
      </c>
      <c r="AL36" s="157" t="str">
        <f t="shared" ref="AL36:AL67" si="13">IF(AD36&gt;1,"yes", "no")</f>
        <v>no</v>
      </c>
      <c r="AM36" s="157"/>
      <c r="AN36" s="157"/>
      <c r="AO36" s="157"/>
      <c r="AP36" s="157">
        <v>1</v>
      </c>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row>
    <row r="37" spans="1:209" s="26" customFormat="1" ht="62.25" customHeight="1">
      <c r="A37" s="8" t="s">
        <v>53</v>
      </c>
      <c r="B37" s="29" t="s">
        <v>54</v>
      </c>
      <c r="C37" s="8" t="s">
        <v>128</v>
      </c>
      <c r="D37" s="8" t="s">
        <v>154</v>
      </c>
      <c r="E37" s="12" t="s">
        <v>155</v>
      </c>
      <c r="F37" s="8"/>
      <c r="G37" s="64" t="s">
        <v>131</v>
      </c>
      <c r="H37" s="64"/>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20">
        <f>COUNTA(Last:end!M37)</f>
        <v>0</v>
      </c>
      <c r="AH37" s="22">
        <f>COUNTA(Last:end!M37)/6</f>
        <v>0</v>
      </c>
      <c r="AI37" s="65"/>
      <c r="AJ37" s="20">
        <f>MIN(Last:end!L37)</f>
        <v>0</v>
      </c>
      <c r="AK37" s="20" t="e">
        <f>IF(AND(AJ37&lt;=2023,#REF!="high interest / inadequate offer "),"yes","no")</f>
        <v>#REF!</v>
      </c>
      <c r="AL37" s="20" t="str">
        <f t="shared" si="13"/>
        <v>no</v>
      </c>
      <c r="AM37" s="157"/>
      <c r="AN37" s="157"/>
      <c r="AO37" s="157"/>
      <c r="AP37" s="157">
        <v>0</v>
      </c>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row>
    <row r="38" spans="1:209" s="26" customFormat="1" ht="62.25" customHeight="1">
      <c r="A38" s="8" t="s">
        <v>53</v>
      </c>
      <c r="B38" s="29" t="s">
        <v>54</v>
      </c>
      <c r="C38" s="8" t="s">
        <v>128</v>
      </c>
      <c r="D38" s="8" t="s">
        <v>156</v>
      </c>
      <c r="E38" s="69" t="s">
        <v>157</v>
      </c>
      <c r="F38" s="8"/>
      <c r="G38" s="8" t="s">
        <v>131</v>
      </c>
      <c r="H38" s="12" t="s">
        <v>158</v>
      </c>
      <c r="I38" s="12" t="s">
        <v>110</v>
      </c>
      <c r="J38" s="12"/>
      <c r="K38" s="12"/>
      <c r="L38" s="12"/>
      <c r="M38" s="12"/>
      <c r="N38" s="12"/>
      <c r="O38" s="12"/>
      <c r="P38" s="8"/>
      <c r="Q38" s="549"/>
      <c r="R38" s="12"/>
      <c r="S38" s="12"/>
      <c r="T38" s="12"/>
      <c r="U38" s="12"/>
      <c r="V38" s="12"/>
      <c r="W38" s="12"/>
      <c r="X38" s="12"/>
      <c r="Y38" s="12"/>
      <c r="Z38" s="12"/>
      <c r="AA38" s="8"/>
      <c r="AB38" s="8"/>
      <c r="AC38" s="314" t="str">
        <f t="shared" ref="AC38:AC49" si="14">IF(AD38&gt;0,"yes", "no")</f>
        <v>yes</v>
      </c>
      <c r="AD38" s="314">
        <f>COUNTA(first:Last!R38)</f>
        <v>1</v>
      </c>
      <c r="AE38" s="157">
        <f>SUM(first:Last!Z38)</f>
        <v>0</v>
      </c>
      <c r="AF38" s="157" t="str">
        <f t="shared" ref="AF38:AF49" si="15">IF(AH38&gt;0,"yes", "no")</f>
        <v>yes</v>
      </c>
      <c r="AG38" s="157">
        <f>COUNTA(Last:end!M38)</f>
        <v>3</v>
      </c>
      <c r="AH38" s="520">
        <f>COUNTA(Last:end!M38)/6</f>
        <v>0.5</v>
      </c>
      <c r="AI38" s="157">
        <f>SUM(Last:end!O38)</f>
        <v>0</v>
      </c>
      <c r="AJ38" s="157">
        <f>MIN(Last:end!L38)</f>
        <v>0</v>
      </c>
      <c r="AK38" s="157" t="e">
        <f>IF(AND(AJ38&lt;=2023,#REF!="high interest / inadequate offer "),"yes","no")</f>
        <v>#REF!</v>
      </c>
      <c r="AL38" s="157" t="str">
        <f t="shared" si="13"/>
        <v>no</v>
      </c>
      <c r="AM38" s="157"/>
      <c r="AN38" s="157"/>
      <c r="AO38" s="157"/>
      <c r="AP38" s="157">
        <v>1</v>
      </c>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row>
    <row r="39" spans="1:209" s="26" customFormat="1" ht="62.25" customHeight="1">
      <c r="A39" s="8" t="s">
        <v>53</v>
      </c>
      <c r="B39" s="29" t="s">
        <v>54</v>
      </c>
      <c r="C39" s="8" t="s">
        <v>128</v>
      </c>
      <c r="D39" s="8" t="s">
        <v>159</v>
      </c>
      <c r="E39" s="69" t="s">
        <v>160</v>
      </c>
      <c r="F39" s="8"/>
      <c r="G39" s="8" t="s">
        <v>131</v>
      </c>
      <c r="H39" s="12" t="s">
        <v>161</v>
      </c>
      <c r="I39" s="12" t="s">
        <v>162</v>
      </c>
      <c r="J39" s="8"/>
      <c r="K39" s="8"/>
      <c r="L39" s="8"/>
      <c r="M39" s="8"/>
      <c r="N39" s="8"/>
      <c r="O39" s="8"/>
      <c r="P39" s="8"/>
      <c r="Q39" s="157"/>
      <c r="R39" s="8"/>
      <c r="S39" s="8"/>
      <c r="T39" s="8"/>
      <c r="U39" s="8"/>
      <c r="V39" s="8"/>
      <c r="W39" s="8"/>
      <c r="X39" s="8"/>
      <c r="Y39" s="8"/>
      <c r="Z39" s="8"/>
      <c r="AA39" s="8"/>
      <c r="AB39" s="8"/>
      <c r="AC39" s="314" t="str">
        <f t="shared" si="14"/>
        <v>yes</v>
      </c>
      <c r="AD39" s="314">
        <f>COUNTA(first:Last!R39)</f>
        <v>1</v>
      </c>
      <c r="AE39" s="157">
        <f>SUM(first:Last!Z39)</f>
        <v>0</v>
      </c>
      <c r="AF39" s="157" t="str">
        <f t="shared" si="15"/>
        <v>yes</v>
      </c>
      <c r="AG39" s="157">
        <f>COUNTA(Last:end!M39)</f>
        <v>3</v>
      </c>
      <c r="AH39" s="520">
        <f>COUNTA(Last:end!M39)/6</f>
        <v>0.5</v>
      </c>
      <c r="AI39" s="157">
        <f>SUM(Last:end!O39)</f>
        <v>0</v>
      </c>
      <c r="AJ39" s="157">
        <f>MIN(Last:end!L39)</f>
        <v>0</v>
      </c>
      <c r="AK39" s="157" t="e">
        <f>IF(AND(AJ39&lt;=2023,#REF!="high interest / inadequate offer "),"yes","no")</f>
        <v>#REF!</v>
      </c>
      <c r="AL39" s="157" t="str">
        <f t="shared" si="13"/>
        <v>no</v>
      </c>
      <c r="AM39" s="157"/>
      <c r="AN39" s="157"/>
      <c r="AO39" s="157"/>
      <c r="AP39" s="157">
        <v>1</v>
      </c>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row>
    <row r="40" spans="1:209" s="26" customFormat="1" ht="62.25" customHeight="1">
      <c r="A40" s="8" t="s">
        <v>53</v>
      </c>
      <c r="B40" s="29" t="s">
        <v>54</v>
      </c>
      <c r="C40" s="8" t="s">
        <v>128</v>
      </c>
      <c r="D40" s="8" t="s">
        <v>163</v>
      </c>
      <c r="E40" s="69" t="s">
        <v>164</v>
      </c>
      <c r="F40" s="8"/>
      <c r="G40" s="8" t="s">
        <v>131</v>
      </c>
      <c r="H40" s="12" t="s">
        <v>165</v>
      </c>
      <c r="I40" s="12" t="s">
        <v>166</v>
      </c>
      <c r="J40" s="12"/>
      <c r="K40" s="12"/>
      <c r="L40" s="12"/>
      <c r="M40" s="12"/>
      <c r="N40" s="12"/>
      <c r="O40" s="12"/>
      <c r="P40" s="8"/>
      <c r="Q40" s="549"/>
      <c r="R40" s="12"/>
      <c r="S40" s="12"/>
      <c r="T40" s="12"/>
      <c r="U40" s="12"/>
      <c r="V40" s="12"/>
      <c r="W40" s="12"/>
      <c r="X40" s="12"/>
      <c r="Y40" s="12"/>
      <c r="Z40" s="12"/>
      <c r="AA40" s="8"/>
      <c r="AB40" s="8"/>
      <c r="AC40" s="314" t="str">
        <f t="shared" si="14"/>
        <v>no</v>
      </c>
      <c r="AD40" s="314">
        <f>COUNTA(first:Last!R40)</f>
        <v>0</v>
      </c>
      <c r="AE40" s="157">
        <f>SUM(first:Last!Z40)</f>
        <v>0</v>
      </c>
      <c r="AF40" s="157" t="str">
        <f t="shared" si="15"/>
        <v>yes</v>
      </c>
      <c r="AG40" s="157">
        <f>COUNTA(Last:end!M40)</f>
        <v>2</v>
      </c>
      <c r="AH40" s="520">
        <f>COUNTA(Last:end!M40)/6</f>
        <v>0.33333333333333331</v>
      </c>
      <c r="AI40" s="157">
        <f>SUM(Last:end!O40)</f>
        <v>0</v>
      </c>
      <c r="AJ40" s="157">
        <f>MIN(Last:end!L40)</f>
        <v>0</v>
      </c>
      <c r="AK40" s="157" t="e">
        <f>IF(AND(AJ40&lt;=2023,#REF!="high interest / inadequate offer "),"yes","no")</f>
        <v>#REF!</v>
      </c>
      <c r="AL40" s="157" t="str">
        <f t="shared" si="13"/>
        <v>no</v>
      </c>
      <c r="AM40" s="157"/>
      <c r="AN40" s="157"/>
      <c r="AO40" s="157"/>
      <c r="AP40" s="157">
        <v>1</v>
      </c>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row>
    <row r="41" spans="1:209" s="26" customFormat="1" ht="94.5">
      <c r="A41" s="8" t="s">
        <v>53</v>
      </c>
      <c r="B41" s="29" t="s">
        <v>54</v>
      </c>
      <c r="C41" s="8" t="s">
        <v>128</v>
      </c>
      <c r="D41" s="8" t="s">
        <v>167</v>
      </c>
      <c r="E41" s="12" t="s">
        <v>168</v>
      </c>
      <c r="F41" s="8"/>
      <c r="G41" s="8" t="s">
        <v>71</v>
      </c>
      <c r="H41" s="12" t="s">
        <v>169</v>
      </c>
      <c r="I41" s="12" t="s">
        <v>110</v>
      </c>
      <c r="J41" s="12"/>
      <c r="K41" s="13"/>
      <c r="L41" s="13"/>
      <c r="M41" s="13"/>
      <c r="N41" s="13"/>
      <c r="O41" s="13"/>
      <c r="P41" s="8"/>
      <c r="Q41" s="549"/>
      <c r="R41" s="13"/>
      <c r="S41" s="13"/>
      <c r="T41" s="13"/>
      <c r="U41" s="13"/>
      <c r="V41" s="13"/>
      <c r="W41" s="13"/>
      <c r="X41" s="13"/>
      <c r="Y41" s="13"/>
      <c r="Z41" s="13"/>
      <c r="AA41" s="8"/>
      <c r="AB41" s="8"/>
      <c r="AC41" s="314" t="str">
        <f t="shared" si="14"/>
        <v>yes</v>
      </c>
      <c r="AD41" s="314">
        <f>COUNTA(first:Last!R41)</f>
        <v>4</v>
      </c>
      <c r="AE41" s="157">
        <f>SUM(first:Last!Z41)</f>
        <v>56200</v>
      </c>
      <c r="AF41" s="157" t="str">
        <f t="shared" si="15"/>
        <v>no</v>
      </c>
      <c r="AG41" s="157">
        <f>COUNTA(Last:end!M41)</f>
        <v>0</v>
      </c>
      <c r="AH41" s="520">
        <f>COUNTA(Last:end!M41)/6</f>
        <v>0</v>
      </c>
      <c r="AI41" s="157">
        <f>SUM(Last:end!O41)</f>
        <v>0</v>
      </c>
      <c r="AJ41" s="157">
        <f>MIN(Last:end!L41)</f>
        <v>0</v>
      </c>
      <c r="AK41" s="157" t="e">
        <f>IF(AND(AJ41&lt;=2023,#REF!="high interest / inadequate offer "),"yes","no")</f>
        <v>#REF!</v>
      </c>
      <c r="AL41" s="157" t="str">
        <f t="shared" si="13"/>
        <v>yes</v>
      </c>
      <c r="AM41" s="157"/>
      <c r="AN41" s="157"/>
      <c r="AO41" s="157"/>
      <c r="AP41" s="157">
        <v>1</v>
      </c>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row>
    <row r="42" spans="1:209" s="26" customFormat="1" ht="62.25" customHeight="1">
      <c r="A42" s="8" t="s">
        <v>53</v>
      </c>
      <c r="B42" s="29" t="s">
        <v>54</v>
      </c>
      <c r="C42" s="8" t="s">
        <v>128</v>
      </c>
      <c r="D42" s="8" t="s">
        <v>170</v>
      </c>
      <c r="E42" s="12" t="s">
        <v>171</v>
      </c>
      <c r="F42" s="8"/>
      <c r="G42" s="8" t="s">
        <v>62</v>
      </c>
      <c r="H42" s="12"/>
      <c r="I42" s="12"/>
      <c r="J42" s="12"/>
      <c r="K42" s="13"/>
      <c r="L42" s="13"/>
      <c r="M42" s="13"/>
      <c r="N42" s="13"/>
      <c r="O42" s="13"/>
      <c r="P42" s="8"/>
      <c r="Q42" s="549"/>
      <c r="R42" s="13"/>
      <c r="S42" s="13"/>
      <c r="T42" s="13"/>
      <c r="U42" s="13"/>
      <c r="V42" s="13"/>
      <c r="W42" s="13"/>
      <c r="X42" s="13"/>
      <c r="Y42" s="13"/>
      <c r="Z42" s="13"/>
      <c r="AA42" s="8"/>
      <c r="AB42" s="8"/>
      <c r="AC42" s="314" t="str">
        <f t="shared" si="14"/>
        <v>no</v>
      </c>
      <c r="AD42" s="314">
        <f>COUNTA(first:Last!R42)</f>
        <v>0</v>
      </c>
      <c r="AE42" s="157">
        <f>SUM(first:Last!Z42)</f>
        <v>0</v>
      </c>
      <c r="AF42" s="157" t="str">
        <f t="shared" si="15"/>
        <v>yes</v>
      </c>
      <c r="AG42" s="157">
        <f>COUNTA(Last:end!M42)</f>
        <v>2</v>
      </c>
      <c r="AH42" s="520">
        <f>COUNTA(Last:end!M42)/6</f>
        <v>0.33333333333333331</v>
      </c>
      <c r="AI42" s="157">
        <f>SUM(Last:end!O42)</f>
        <v>0</v>
      </c>
      <c r="AJ42" s="157">
        <f>MIN(Last:end!L42)</f>
        <v>2023</v>
      </c>
      <c r="AK42" s="157" t="e">
        <f>IF(AND(AJ42&lt;=2023,#REF!="high interest / inadequate offer "),"yes","no")</f>
        <v>#REF!</v>
      </c>
      <c r="AL42" s="157" t="str">
        <f t="shared" si="13"/>
        <v>no</v>
      </c>
      <c r="AM42" s="157"/>
      <c r="AN42" s="157"/>
      <c r="AO42" s="157"/>
      <c r="AP42" s="157">
        <v>1</v>
      </c>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row>
    <row r="43" spans="1:209" s="26" customFormat="1" ht="62.25" customHeight="1">
      <c r="A43" s="8" t="s">
        <v>53</v>
      </c>
      <c r="B43" s="29" t="s">
        <v>54</v>
      </c>
      <c r="C43" s="8" t="s">
        <v>128</v>
      </c>
      <c r="D43" s="8" t="s">
        <v>172</v>
      </c>
      <c r="E43" s="69" t="s">
        <v>173</v>
      </c>
      <c r="F43" s="8"/>
      <c r="G43" s="8" t="s">
        <v>62</v>
      </c>
      <c r="H43" s="12" t="s">
        <v>174</v>
      </c>
      <c r="I43" s="12" t="s">
        <v>175</v>
      </c>
      <c r="J43" s="12"/>
      <c r="K43" s="13"/>
      <c r="L43" s="13"/>
      <c r="M43" s="13"/>
      <c r="N43" s="13"/>
      <c r="O43" s="13"/>
      <c r="P43" s="8"/>
      <c r="Q43" s="549"/>
      <c r="R43" s="13"/>
      <c r="S43" s="13"/>
      <c r="T43" s="13"/>
      <c r="U43" s="13"/>
      <c r="V43" s="13"/>
      <c r="W43" s="13"/>
      <c r="X43" s="13"/>
      <c r="Y43" s="13"/>
      <c r="Z43" s="13"/>
      <c r="AA43" s="8"/>
      <c r="AB43" s="8"/>
      <c r="AC43" s="314" t="str">
        <f t="shared" si="14"/>
        <v>yes</v>
      </c>
      <c r="AD43" s="314">
        <f>COUNTA(first:Last!R43)</f>
        <v>1</v>
      </c>
      <c r="AE43" s="157">
        <f>SUM(first:Last!Z43)</f>
        <v>21374</v>
      </c>
      <c r="AF43" s="157" t="str">
        <f t="shared" si="15"/>
        <v>yes</v>
      </c>
      <c r="AG43" s="157">
        <f>COUNTA(Last:end!M43)</f>
        <v>4</v>
      </c>
      <c r="AH43" s="520">
        <f>COUNTA(Last:end!M43)/6</f>
        <v>0.66666666666666663</v>
      </c>
      <c r="AI43" s="157">
        <f>SUM(Last:end!O43)</f>
        <v>0</v>
      </c>
      <c r="AJ43" s="157">
        <f>MIN(Last:end!L43)</f>
        <v>2023</v>
      </c>
      <c r="AK43" s="157" t="e">
        <f>IF(AND(AJ43&lt;=2023,#REF!="high interest / inadequate offer "),"yes","no")</f>
        <v>#REF!</v>
      </c>
      <c r="AL43" s="157" t="str">
        <f t="shared" si="13"/>
        <v>no</v>
      </c>
      <c r="AM43" s="157"/>
      <c r="AN43" s="157"/>
      <c r="AO43" s="157"/>
      <c r="AP43" s="157">
        <v>1</v>
      </c>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row>
    <row r="44" spans="1:209" s="26" customFormat="1" ht="62.25" customHeight="1">
      <c r="A44" s="8" t="s">
        <v>53</v>
      </c>
      <c r="B44" s="29" t="s">
        <v>54</v>
      </c>
      <c r="C44" s="8" t="s">
        <v>128</v>
      </c>
      <c r="D44" s="8" t="s">
        <v>176</v>
      </c>
      <c r="E44" s="69" t="s">
        <v>177</v>
      </c>
      <c r="F44" s="8"/>
      <c r="G44" s="8" t="s">
        <v>62</v>
      </c>
      <c r="H44" s="12" t="s">
        <v>178</v>
      </c>
      <c r="I44" s="12" t="s">
        <v>179</v>
      </c>
      <c r="J44" s="8"/>
      <c r="K44" s="14"/>
      <c r="L44" s="14"/>
      <c r="M44" s="14"/>
      <c r="N44" s="14"/>
      <c r="O44" s="14"/>
      <c r="P44" s="8"/>
      <c r="Q44" s="157"/>
      <c r="R44" s="14"/>
      <c r="S44" s="14"/>
      <c r="T44" s="14"/>
      <c r="U44" s="14"/>
      <c r="V44" s="14"/>
      <c r="W44" s="14"/>
      <c r="X44" s="14"/>
      <c r="Y44" s="14"/>
      <c r="Z44" s="14"/>
      <c r="AA44" s="8"/>
      <c r="AB44" s="8"/>
      <c r="AC44" s="314" t="str">
        <f t="shared" si="14"/>
        <v>no</v>
      </c>
      <c r="AD44" s="314">
        <f>COUNTA(first:Last!R44)</f>
        <v>0</v>
      </c>
      <c r="AE44" s="157">
        <f>SUM(first:Last!Z44)</f>
        <v>0</v>
      </c>
      <c r="AF44" s="157" t="str">
        <f t="shared" si="15"/>
        <v>yes</v>
      </c>
      <c r="AG44" s="157">
        <f>COUNTA(Last:end!M44)</f>
        <v>2</v>
      </c>
      <c r="AH44" s="520">
        <f>COUNTA(Last:end!M44)/6</f>
        <v>0.33333333333333331</v>
      </c>
      <c r="AI44" s="157">
        <f>SUM(Last:end!O44)</f>
        <v>0</v>
      </c>
      <c r="AJ44" s="157">
        <f>MIN(Last:end!L44)</f>
        <v>2023</v>
      </c>
      <c r="AK44" s="157" t="e">
        <f>IF(AND(AJ44&lt;=2023,#REF!="high interest / inadequate offer "),"yes","no")</f>
        <v>#REF!</v>
      </c>
      <c r="AL44" s="157" t="str">
        <f t="shared" si="13"/>
        <v>no</v>
      </c>
      <c r="AM44" s="157"/>
      <c r="AN44" s="157"/>
      <c r="AO44" s="157"/>
      <c r="AP44" s="157">
        <v>1</v>
      </c>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row>
    <row r="45" spans="1:209" s="26" customFormat="1" ht="47.25">
      <c r="A45" s="8" t="s">
        <v>53</v>
      </c>
      <c r="B45" s="29" t="s">
        <v>54</v>
      </c>
      <c r="C45" s="8" t="s">
        <v>128</v>
      </c>
      <c r="D45" s="8" t="s">
        <v>180</v>
      </c>
      <c r="E45" s="12" t="s">
        <v>181</v>
      </c>
      <c r="F45" s="8"/>
      <c r="G45" s="8" t="s">
        <v>71</v>
      </c>
      <c r="H45" s="12" t="s">
        <v>182</v>
      </c>
      <c r="I45" s="15">
        <v>1</v>
      </c>
      <c r="J45" s="15"/>
      <c r="K45" s="16"/>
      <c r="L45" s="16"/>
      <c r="M45" s="16"/>
      <c r="N45" s="16"/>
      <c r="O45" s="16"/>
      <c r="P45" s="8"/>
      <c r="Q45" s="550"/>
      <c r="R45" s="16"/>
      <c r="S45" s="16"/>
      <c r="T45" s="16"/>
      <c r="U45" s="16"/>
      <c r="V45" s="16"/>
      <c r="W45" s="16"/>
      <c r="X45" s="16"/>
      <c r="Y45" s="16"/>
      <c r="Z45" s="16"/>
      <c r="AA45" s="8"/>
      <c r="AB45" s="8"/>
      <c r="AC45" s="314" t="str">
        <f t="shared" si="14"/>
        <v>yes</v>
      </c>
      <c r="AD45" s="314">
        <f>COUNTA(first:Last!R45)</f>
        <v>1</v>
      </c>
      <c r="AE45" s="157">
        <f>SUM(first:Last!Z45)</f>
        <v>0</v>
      </c>
      <c r="AF45" s="157" t="str">
        <f t="shared" si="15"/>
        <v>no</v>
      </c>
      <c r="AG45" s="157">
        <f>COUNTA(Last:end!M45)</f>
        <v>0</v>
      </c>
      <c r="AH45" s="520">
        <f>COUNTA(Last:end!M45)/6</f>
        <v>0</v>
      </c>
      <c r="AI45" s="157">
        <f>SUM(Last:end!O45)</f>
        <v>0</v>
      </c>
      <c r="AJ45" s="157">
        <f>MIN(Last:end!L45)</f>
        <v>0</v>
      </c>
      <c r="AK45" s="157" t="e">
        <f>IF(AND(AJ45&lt;=2023,#REF!="high interest / inadequate offer "),"yes","no")</f>
        <v>#REF!</v>
      </c>
      <c r="AL45" s="157" t="str">
        <f t="shared" si="13"/>
        <v>no</v>
      </c>
      <c r="AM45" s="157"/>
      <c r="AN45" s="157"/>
      <c r="AO45" s="157"/>
      <c r="AP45" s="157">
        <v>1</v>
      </c>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row>
    <row r="46" spans="1:209" s="26" customFormat="1" ht="47.25">
      <c r="A46" s="8" t="s">
        <v>53</v>
      </c>
      <c r="B46" s="29" t="s">
        <v>54</v>
      </c>
      <c r="C46" s="8" t="s">
        <v>128</v>
      </c>
      <c r="D46" s="8" t="s">
        <v>183</v>
      </c>
      <c r="E46" s="12" t="s">
        <v>184</v>
      </c>
      <c r="F46" s="8"/>
      <c r="G46" s="8" t="s">
        <v>71</v>
      </c>
      <c r="H46" s="12" t="s">
        <v>182</v>
      </c>
      <c r="I46" s="15">
        <v>1</v>
      </c>
      <c r="J46" s="15"/>
      <c r="K46" s="16"/>
      <c r="L46" s="16"/>
      <c r="M46" s="16"/>
      <c r="N46" s="16"/>
      <c r="O46" s="16"/>
      <c r="P46" s="8"/>
      <c r="Q46" s="550"/>
      <c r="R46" s="16"/>
      <c r="S46" s="16"/>
      <c r="T46" s="16"/>
      <c r="U46" s="16"/>
      <c r="V46" s="16"/>
      <c r="W46" s="16"/>
      <c r="X46" s="16"/>
      <c r="Y46" s="16"/>
      <c r="Z46" s="16"/>
      <c r="AA46" s="8"/>
      <c r="AB46" s="8"/>
      <c r="AC46" s="314" t="str">
        <f t="shared" si="14"/>
        <v>no</v>
      </c>
      <c r="AD46" s="314">
        <f>COUNTA(first:Last!R46)</f>
        <v>0</v>
      </c>
      <c r="AE46" s="157">
        <f>SUM(first:Last!Z46)</f>
        <v>0</v>
      </c>
      <c r="AF46" s="157" t="str">
        <f t="shared" si="15"/>
        <v>no</v>
      </c>
      <c r="AG46" s="157">
        <f>COUNTA(Last:end!M46)</f>
        <v>0</v>
      </c>
      <c r="AH46" s="520">
        <f>COUNTA(Last:end!M46)/6</f>
        <v>0</v>
      </c>
      <c r="AI46" s="157">
        <f>SUM(Last:end!O46)</f>
        <v>0</v>
      </c>
      <c r="AJ46" s="157">
        <f>MIN(Last:end!L46)</f>
        <v>0</v>
      </c>
      <c r="AK46" s="157" t="e">
        <f>IF(AND(AJ46&lt;=2023,#REF!="high interest / inadequate offer "),"yes","no")</f>
        <v>#REF!</v>
      </c>
      <c r="AL46" s="157" t="str">
        <f t="shared" si="13"/>
        <v>no</v>
      </c>
      <c r="AM46" s="157"/>
      <c r="AN46" s="157"/>
      <c r="AO46" s="157"/>
      <c r="AP46" s="157">
        <v>1</v>
      </c>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row>
    <row r="47" spans="1:209" s="26" customFormat="1" ht="62.25" customHeight="1">
      <c r="A47" s="8" t="s">
        <v>53</v>
      </c>
      <c r="B47" s="29" t="s">
        <v>54</v>
      </c>
      <c r="C47" s="8" t="s">
        <v>128</v>
      </c>
      <c r="D47" s="8" t="s">
        <v>185</v>
      </c>
      <c r="E47" s="12" t="s">
        <v>186</v>
      </c>
      <c r="F47" s="8"/>
      <c r="G47" s="8" t="s">
        <v>62</v>
      </c>
      <c r="H47" s="12" t="s">
        <v>187</v>
      </c>
      <c r="I47" s="8" t="s">
        <v>188</v>
      </c>
      <c r="J47" s="12"/>
      <c r="K47" s="13"/>
      <c r="L47" s="13"/>
      <c r="M47" s="13"/>
      <c r="N47" s="13"/>
      <c r="O47" s="13"/>
      <c r="P47" s="8"/>
      <c r="Q47" s="549"/>
      <c r="R47" s="13"/>
      <c r="S47" s="13"/>
      <c r="T47" s="13"/>
      <c r="U47" s="13"/>
      <c r="V47" s="13"/>
      <c r="W47" s="13"/>
      <c r="X47" s="13"/>
      <c r="Y47" s="13"/>
      <c r="Z47" s="13"/>
      <c r="AA47" s="8"/>
      <c r="AB47" s="8"/>
      <c r="AC47" s="314" t="str">
        <f t="shared" si="14"/>
        <v>no</v>
      </c>
      <c r="AD47" s="314">
        <f>COUNTA(first:Last!R47)</f>
        <v>0</v>
      </c>
      <c r="AE47" s="157">
        <f>SUM(first:Last!Z47)</f>
        <v>0</v>
      </c>
      <c r="AF47" s="157" t="str">
        <f t="shared" si="15"/>
        <v>yes</v>
      </c>
      <c r="AG47" s="157">
        <f>COUNTA(Last:end!M47)</f>
        <v>2</v>
      </c>
      <c r="AH47" s="520">
        <f>COUNTA(Last:end!M47)/6</f>
        <v>0.33333333333333331</v>
      </c>
      <c r="AI47" s="157">
        <f>SUM(Last:end!O47)</f>
        <v>0</v>
      </c>
      <c r="AJ47" s="157">
        <f>MIN(Last:end!L47)</f>
        <v>0</v>
      </c>
      <c r="AK47" s="157" t="e">
        <f>IF(AND(AJ47&lt;=2023,#REF!="high interest / inadequate offer "),"yes","no")</f>
        <v>#REF!</v>
      </c>
      <c r="AL47" s="157" t="str">
        <f t="shared" si="13"/>
        <v>no</v>
      </c>
      <c r="AM47" s="157"/>
      <c r="AN47" s="157"/>
      <c r="AO47" s="157"/>
      <c r="AP47" s="157">
        <v>1</v>
      </c>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row>
    <row r="48" spans="1:209" s="26" customFormat="1" ht="62.25" customHeight="1">
      <c r="A48" s="8" t="s">
        <v>53</v>
      </c>
      <c r="B48" s="29" t="s">
        <v>54</v>
      </c>
      <c r="C48" s="8" t="s">
        <v>128</v>
      </c>
      <c r="D48" s="8" t="s">
        <v>189</v>
      </c>
      <c r="E48" s="12" t="s">
        <v>190</v>
      </c>
      <c r="F48" s="8"/>
      <c r="G48" s="8" t="s">
        <v>62</v>
      </c>
      <c r="H48" s="12" t="s">
        <v>191</v>
      </c>
      <c r="I48" s="12" t="s">
        <v>192</v>
      </c>
      <c r="J48" s="12"/>
      <c r="K48" s="13"/>
      <c r="L48" s="13"/>
      <c r="M48" s="13"/>
      <c r="N48" s="13"/>
      <c r="O48" s="13"/>
      <c r="P48" s="8"/>
      <c r="Q48" s="549"/>
      <c r="R48" s="13"/>
      <c r="S48" s="13"/>
      <c r="T48" s="13"/>
      <c r="U48" s="13"/>
      <c r="V48" s="13"/>
      <c r="W48" s="13"/>
      <c r="X48" s="13"/>
      <c r="Y48" s="13"/>
      <c r="Z48" s="13"/>
      <c r="AA48" s="8"/>
      <c r="AB48" s="8"/>
      <c r="AC48" s="314" t="str">
        <f t="shared" si="14"/>
        <v>yes</v>
      </c>
      <c r="AD48" s="314">
        <f>COUNTA(first:Last!R48)</f>
        <v>1</v>
      </c>
      <c r="AE48" s="157">
        <f>SUM(first:Last!Z48)</f>
        <v>0</v>
      </c>
      <c r="AF48" s="157" t="str">
        <f t="shared" si="15"/>
        <v>yes</v>
      </c>
      <c r="AG48" s="157">
        <f>COUNTA(Last:end!M48)</f>
        <v>2</v>
      </c>
      <c r="AH48" s="520">
        <f>COUNTA(Last:end!M48)/6</f>
        <v>0.33333333333333331</v>
      </c>
      <c r="AI48" s="157">
        <f>SUM(Last:end!O48)</f>
        <v>0</v>
      </c>
      <c r="AJ48" s="157">
        <f>MIN(Last:end!L48)</f>
        <v>2023</v>
      </c>
      <c r="AK48" s="157" t="e">
        <f>IF(AND(AJ48&lt;=2023,#REF!="high interest / inadequate offer "),"yes","no")</f>
        <v>#REF!</v>
      </c>
      <c r="AL48" s="157" t="str">
        <f t="shared" si="13"/>
        <v>no</v>
      </c>
      <c r="AM48" s="157"/>
      <c r="AN48" s="157"/>
      <c r="AO48" s="157"/>
      <c r="AP48" s="157">
        <v>1</v>
      </c>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row>
    <row r="49" spans="1:209" s="26" customFormat="1" ht="62.25" customHeight="1">
      <c r="A49" s="8" t="s">
        <v>53</v>
      </c>
      <c r="B49" s="29" t="s">
        <v>54</v>
      </c>
      <c r="C49" s="8" t="s">
        <v>128</v>
      </c>
      <c r="D49" s="8" t="s">
        <v>193</v>
      </c>
      <c r="E49" s="12" t="s">
        <v>190</v>
      </c>
      <c r="F49" s="8"/>
      <c r="G49" s="8" t="s">
        <v>62</v>
      </c>
      <c r="H49" s="12" t="s">
        <v>194</v>
      </c>
      <c r="I49" s="12" t="s">
        <v>135</v>
      </c>
      <c r="J49" s="8"/>
      <c r="K49" s="14"/>
      <c r="L49" s="14"/>
      <c r="M49" s="14"/>
      <c r="N49" s="14"/>
      <c r="O49" s="14"/>
      <c r="P49" s="8"/>
      <c r="Q49" s="157"/>
      <c r="R49" s="14"/>
      <c r="S49" s="14"/>
      <c r="T49" s="14"/>
      <c r="U49" s="14"/>
      <c r="V49" s="14"/>
      <c r="W49" s="14"/>
      <c r="X49" s="14"/>
      <c r="Y49" s="14"/>
      <c r="Z49" s="14"/>
      <c r="AA49" s="8"/>
      <c r="AB49" s="8"/>
      <c r="AC49" s="314" t="str">
        <f t="shared" si="14"/>
        <v>yes</v>
      </c>
      <c r="AD49" s="314">
        <f>COUNTA(first:Last!R49)</f>
        <v>1</v>
      </c>
      <c r="AE49" s="157">
        <f>SUM(first:Last!Z49)</f>
        <v>0</v>
      </c>
      <c r="AF49" s="157" t="str">
        <f t="shared" si="15"/>
        <v>yes</v>
      </c>
      <c r="AG49" s="157">
        <f>COUNTA(Last:end!M49)</f>
        <v>3</v>
      </c>
      <c r="AH49" s="520">
        <f>COUNTA(Last:end!M49)/6</f>
        <v>0.5</v>
      </c>
      <c r="AI49" s="157">
        <f>SUM(Last:end!O49)</f>
        <v>0</v>
      </c>
      <c r="AJ49" s="157">
        <f>MIN(Last:end!L49)</f>
        <v>2023</v>
      </c>
      <c r="AK49" s="157" t="e">
        <f>IF(AND(AJ49&lt;=2023,#REF!="high interest / inadequate offer "),"yes","no")</f>
        <v>#REF!</v>
      </c>
      <c r="AL49" s="157" t="str">
        <f t="shared" si="13"/>
        <v>no</v>
      </c>
      <c r="AM49" s="157"/>
      <c r="AN49" s="157"/>
      <c r="AO49" s="157"/>
      <c r="AP49" s="157">
        <v>1</v>
      </c>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row>
    <row r="50" spans="1:209" s="26" customFormat="1" ht="62.25" customHeight="1">
      <c r="A50" s="8" t="s">
        <v>53</v>
      </c>
      <c r="B50" s="29" t="s">
        <v>195</v>
      </c>
      <c r="C50" s="8" t="s">
        <v>196</v>
      </c>
      <c r="D50" s="8" t="s">
        <v>197</v>
      </c>
      <c r="E50" s="8" t="s">
        <v>198</v>
      </c>
      <c r="F50" s="8"/>
      <c r="G50" s="64" t="s">
        <v>62</v>
      </c>
      <c r="H50" s="64"/>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20">
        <f>COUNTA(Last:end!M50)</f>
        <v>0</v>
      </c>
      <c r="AH50" s="22">
        <f>COUNTA(Last:end!M50)/6</f>
        <v>0</v>
      </c>
      <c r="AI50" s="65"/>
      <c r="AJ50" s="20">
        <f>MIN(Last:end!L50)</f>
        <v>0</v>
      </c>
      <c r="AK50" s="20" t="e">
        <f>IF(AND(AJ50&lt;=2023,#REF!="high interest / inadequate offer "),"yes","no")</f>
        <v>#REF!</v>
      </c>
      <c r="AL50" s="20" t="str">
        <f t="shared" si="13"/>
        <v>no</v>
      </c>
      <c r="AM50" s="157"/>
      <c r="AN50" s="157"/>
      <c r="AO50" s="157"/>
      <c r="AP50" s="157">
        <v>0</v>
      </c>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row>
    <row r="51" spans="1:209" s="26" customFormat="1" ht="62.25" customHeight="1">
      <c r="A51" s="8" t="s">
        <v>53</v>
      </c>
      <c r="B51" s="29" t="s">
        <v>195</v>
      </c>
      <c r="C51" s="8" t="s">
        <v>196</v>
      </c>
      <c r="D51" s="8" t="s">
        <v>199</v>
      </c>
      <c r="E51" s="69" t="s">
        <v>200</v>
      </c>
      <c r="F51" s="8"/>
      <c r="G51" s="8" t="s">
        <v>62</v>
      </c>
      <c r="H51" s="8" t="s">
        <v>201</v>
      </c>
      <c r="I51" s="15">
        <v>1</v>
      </c>
      <c r="J51" s="9"/>
      <c r="K51" s="9"/>
      <c r="L51" s="9"/>
      <c r="M51" s="9"/>
      <c r="N51" s="9"/>
      <c r="O51" s="9"/>
      <c r="P51" s="8"/>
      <c r="Q51" s="520"/>
      <c r="R51" s="9"/>
      <c r="S51" s="9"/>
      <c r="T51" s="9"/>
      <c r="U51" s="9"/>
      <c r="V51" s="9"/>
      <c r="W51" s="9"/>
      <c r="X51" s="9"/>
      <c r="Y51" s="9"/>
      <c r="Z51" s="9"/>
      <c r="AA51" s="8"/>
      <c r="AB51" s="8"/>
      <c r="AC51" s="314" t="str">
        <f t="shared" ref="AC51:AC52" si="16">IF(AD51&gt;0,"yes", "no")</f>
        <v>yes</v>
      </c>
      <c r="AD51" s="314">
        <f>COUNTA(first:Last!R51)</f>
        <v>2</v>
      </c>
      <c r="AE51" s="157">
        <f>SUM(first:Last!Z51)</f>
        <v>0</v>
      </c>
      <c r="AF51" s="157" t="str">
        <f t="shared" ref="AF51:AF52" si="17">IF(AH51&gt;0,"yes", "no")</f>
        <v>yes</v>
      </c>
      <c r="AG51" s="157">
        <f>COUNTA(Last:end!M51)</f>
        <v>1</v>
      </c>
      <c r="AH51" s="520">
        <f>COUNTA(Last:end!M51)/6</f>
        <v>0.16666666666666666</v>
      </c>
      <c r="AI51" s="157">
        <f>SUM(Last:end!O51)</f>
        <v>0</v>
      </c>
      <c r="AJ51" s="157">
        <f>MIN(Last:end!L51)</f>
        <v>0</v>
      </c>
      <c r="AK51" s="157" t="e">
        <f>IF(AND(AJ51&lt;=2023,#REF!="high interest / inadequate offer "),"yes","no")</f>
        <v>#REF!</v>
      </c>
      <c r="AL51" s="157" t="str">
        <f t="shared" si="13"/>
        <v>yes</v>
      </c>
      <c r="AM51" s="157"/>
      <c r="AN51" s="157"/>
      <c r="AO51" s="157"/>
      <c r="AP51" s="157">
        <v>1</v>
      </c>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row>
    <row r="52" spans="1:209" s="26" customFormat="1" ht="62.25" customHeight="1">
      <c r="A52" s="8" t="s">
        <v>53</v>
      </c>
      <c r="B52" s="29" t="s">
        <v>195</v>
      </c>
      <c r="C52" s="8" t="s">
        <v>196</v>
      </c>
      <c r="D52" s="8" t="s">
        <v>202</v>
      </c>
      <c r="E52" s="69" t="s">
        <v>203</v>
      </c>
      <c r="F52" s="8"/>
      <c r="G52" s="8" t="s">
        <v>62</v>
      </c>
      <c r="H52" s="8" t="s">
        <v>204</v>
      </c>
      <c r="I52" s="15">
        <v>1</v>
      </c>
      <c r="J52" s="8"/>
      <c r="K52" s="8"/>
      <c r="L52" s="8"/>
      <c r="M52" s="8"/>
      <c r="N52" s="8"/>
      <c r="O52" s="8"/>
      <c r="P52" s="8"/>
      <c r="Q52" s="157"/>
      <c r="R52" s="8"/>
      <c r="S52" s="8"/>
      <c r="T52" s="8"/>
      <c r="U52" s="8"/>
      <c r="V52" s="8"/>
      <c r="W52" s="8"/>
      <c r="X52" s="8"/>
      <c r="Y52" s="8"/>
      <c r="Z52" s="8"/>
      <c r="AA52" s="8"/>
      <c r="AB52" s="8"/>
      <c r="AC52" s="314" t="str">
        <f t="shared" si="16"/>
        <v>yes</v>
      </c>
      <c r="AD52" s="314">
        <f>COUNTA(first:Last!R52)</f>
        <v>3</v>
      </c>
      <c r="AE52" s="157">
        <f>SUM(first:Last!Z52)</f>
        <v>0</v>
      </c>
      <c r="AF52" s="157" t="str">
        <f t="shared" si="17"/>
        <v>yes</v>
      </c>
      <c r="AG52" s="157">
        <f>COUNTA(Last:end!M52)</f>
        <v>2</v>
      </c>
      <c r="AH52" s="520">
        <f>COUNTA(Last:end!M52)/6</f>
        <v>0.33333333333333331</v>
      </c>
      <c r="AI52" s="157">
        <f>SUM(Last:end!O52)</f>
        <v>0</v>
      </c>
      <c r="AJ52" s="157">
        <f>MIN(Last:end!L52)</f>
        <v>2024</v>
      </c>
      <c r="AK52" s="157" t="e">
        <f>IF(AND(AJ52&lt;=2023,#REF!="high interest / inadequate offer "),"yes","no")</f>
        <v>#REF!</v>
      </c>
      <c r="AL52" s="157" t="str">
        <f t="shared" si="13"/>
        <v>yes</v>
      </c>
      <c r="AM52" s="157"/>
      <c r="AN52" s="157"/>
      <c r="AO52" s="157"/>
      <c r="AP52" s="157">
        <v>1</v>
      </c>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row>
    <row r="53" spans="1:209" s="26" customFormat="1" ht="62.25" customHeight="1">
      <c r="A53" s="8" t="s">
        <v>53</v>
      </c>
      <c r="B53" s="29" t="s">
        <v>195</v>
      </c>
      <c r="C53" s="8" t="s">
        <v>196</v>
      </c>
      <c r="D53" s="8" t="s">
        <v>205</v>
      </c>
      <c r="E53" s="8" t="s">
        <v>206</v>
      </c>
      <c r="F53" s="8"/>
      <c r="G53" s="64" t="s">
        <v>62</v>
      </c>
      <c r="H53" s="64"/>
      <c r="I53" s="65"/>
      <c r="J53" s="65"/>
      <c r="K53" s="65"/>
      <c r="L53" s="65"/>
      <c r="M53" s="65"/>
      <c r="N53" s="65"/>
      <c r="O53" s="65"/>
      <c r="P53" s="65"/>
      <c r="Q53" s="65"/>
      <c r="R53" s="65"/>
      <c r="S53" s="65"/>
      <c r="T53" s="65"/>
      <c r="U53" s="65"/>
      <c r="V53" s="65"/>
      <c r="W53" s="65"/>
      <c r="X53" s="65"/>
      <c r="Y53" s="65"/>
      <c r="Z53" s="65"/>
      <c r="AA53" s="65"/>
      <c r="AB53" s="65"/>
      <c r="AC53" s="314" t="str">
        <f t="shared" ref="AC53:AC57" si="18">IF(AD53&gt;0,"yes", "no")</f>
        <v>no</v>
      </c>
      <c r="AD53" s="65"/>
      <c r="AE53" s="65"/>
      <c r="AF53" s="65"/>
      <c r="AG53" s="157">
        <f>COUNTA(Last:end!M53)</f>
        <v>0</v>
      </c>
      <c r="AH53" s="520">
        <f>COUNTA(Last:end!M53)/6</f>
        <v>0</v>
      </c>
      <c r="AI53" s="65"/>
      <c r="AJ53" s="157">
        <f>MIN(Last:end!L53)</f>
        <v>0</v>
      </c>
      <c r="AK53" s="157" t="e">
        <f>IF(AND(AJ53&lt;=2023,#REF!="high interest / inadequate offer "),"yes","no")</f>
        <v>#REF!</v>
      </c>
      <c r="AL53" s="157" t="str">
        <f t="shared" si="13"/>
        <v>no</v>
      </c>
      <c r="AM53" s="157"/>
      <c r="AN53" s="157"/>
      <c r="AO53" s="157"/>
      <c r="AP53" s="157">
        <v>0</v>
      </c>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row>
    <row r="54" spans="1:209" s="26" customFormat="1" ht="62.25" customHeight="1">
      <c r="A54" s="8" t="s">
        <v>53</v>
      </c>
      <c r="B54" s="29" t="s">
        <v>195</v>
      </c>
      <c r="C54" s="8" t="s">
        <v>196</v>
      </c>
      <c r="D54" s="8" t="s">
        <v>207</v>
      </c>
      <c r="E54" s="69" t="s">
        <v>208</v>
      </c>
      <c r="F54" s="8"/>
      <c r="G54" s="8" t="s">
        <v>62</v>
      </c>
      <c r="H54" s="8" t="s">
        <v>209</v>
      </c>
      <c r="I54" s="8" t="s">
        <v>210</v>
      </c>
      <c r="J54" s="8"/>
      <c r="K54" s="8"/>
      <c r="L54" s="8"/>
      <c r="M54" s="8"/>
      <c r="N54" s="8"/>
      <c r="O54" s="8"/>
      <c r="P54" s="8"/>
      <c r="Q54" s="157"/>
      <c r="R54" s="8"/>
      <c r="S54" s="8"/>
      <c r="T54" s="8"/>
      <c r="U54" s="8"/>
      <c r="V54" s="8"/>
      <c r="W54" s="8"/>
      <c r="X54" s="8"/>
      <c r="Y54" s="8"/>
      <c r="Z54" s="8"/>
      <c r="AA54" s="8"/>
      <c r="AB54" s="8"/>
      <c r="AC54" s="314" t="str">
        <f t="shared" si="18"/>
        <v>yes</v>
      </c>
      <c r="AD54" s="314">
        <f>COUNTA(first:Last!R54)</f>
        <v>1</v>
      </c>
      <c r="AE54" s="157">
        <f>SUM(first:Last!Z54)</f>
        <v>0</v>
      </c>
      <c r="AF54" s="157" t="str">
        <f t="shared" ref="AF54:AF57" si="19">IF(AH54&gt;0,"yes", "no")</f>
        <v>yes</v>
      </c>
      <c r="AG54" s="157">
        <f>COUNTA(Last:end!M54)</f>
        <v>3</v>
      </c>
      <c r="AH54" s="520">
        <f>COUNTA(Last:end!M54)/6</f>
        <v>0.5</v>
      </c>
      <c r="AI54" s="157">
        <f>SUM(Last:end!O54)</f>
        <v>0</v>
      </c>
      <c r="AJ54" s="157">
        <f>MIN(Last:end!L54)</f>
        <v>2022</v>
      </c>
      <c r="AK54" s="157" t="e">
        <f>IF(AND(AJ54&lt;=2023,#REF!="high interest / inadequate offer "),"yes","no")</f>
        <v>#REF!</v>
      </c>
      <c r="AL54" s="157" t="str">
        <f t="shared" si="13"/>
        <v>no</v>
      </c>
      <c r="AM54" s="157"/>
      <c r="AN54" s="157"/>
      <c r="AO54" s="157"/>
      <c r="AP54" s="157">
        <v>1</v>
      </c>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row>
    <row r="55" spans="1:209" s="26" customFormat="1" ht="62.25" customHeight="1">
      <c r="A55" s="8" t="s">
        <v>53</v>
      </c>
      <c r="B55" s="29" t="s">
        <v>195</v>
      </c>
      <c r="C55" s="8" t="s">
        <v>196</v>
      </c>
      <c r="D55" s="8" t="s">
        <v>211</v>
      </c>
      <c r="E55" s="69" t="s">
        <v>212</v>
      </c>
      <c r="F55" s="8"/>
      <c r="G55" s="8" t="s">
        <v>62</v>
      </c>
      <c r="H55" s="8" t="s">
        <v>213</v>
      </c>
      <c r="I55" s="8" t="s">
        <v>214</v>
      </c>
      <c r="J55" s="8"/>
      <c r="K55" s="8"/>
      <c r="L55" s="8"/>
      <c r="M55" s="8"/>
      <c r="N55" s="8"/>
      <c r="O55" s="8"/>
      <c r="P55" s="8"/>
      <c r="Q55" s="157"/>
      <c r="R55" s="8"/>
      <c r="S55" s="8"/>
      <c r="T55" s="8"/>
      <c r="U55" s="8"/>
      <c r="V55" s="8"/>
      <c r="W55" s="8"/>
      <c r="X55" s="8"/>
      <c r="Y55" s="8"/>
      <c r="Z55" s="8"/>
      <c r="AA55" s="8"/>
      <c r="AB55" s="8"/>
      <c r="AC55" s="314" t="str">
        <f t="shared" si="18"/>
        <v>yes</v>
      </c>
      <c r="AD55" s="314">
        <f>COUNTA(first:Last!R55)</f>
        <v>1</v>
      </c>
      <c r="AE55" s="157">
        <f>SUM(first:Last!Z55)</f>
        <v>0</v>
      </c>
      <c r="AF55" s="157" t="str">
        <f t="shared" si="19"/>
        <v>yes</v>
      </c>
      <c r="AG55" s="157">
        <f>COUNTA(Last:end!M55)</f>
        <v>3</v>
      </c>
      <c r="AH55" s="520">
        <f>COUNTA(Last:end!M55)/6</f>
        <v>0.5</v>
      </c>
      <c r="AI55" s="157">
        <f>SUM(Last:end!O55)</f>
        <v>0</v>
      </c>
      <c r="AJ55" s="157">
        <f>MIN(Last:end!L55)</f>
        <v>2023</v>
      </c>
      <c r="AK55" s="157" t="e">
        <f>IF(AND(AJ55&lt;=2023,#REF!="high interest / inadequate offer "),"yes","no")</f>
        <v>#REF!</v>
      </c>
      <c r="AL55" s="157" t="str">
        <f t="shared" si="13"/>
        <v>no</v>
      </c>
      <c r="AM55" s="157"/>
      <c r="AN55" s="157"/>
      <c r="AO55" s="157"/>
      <c r="AP55" s="157">
        <v>1</v>
      </c>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row>
    <row r="56" spans="1:209" s="26" customFormat="1" ht="62.25" customHeight="1">
      <c r="A56" s="8" t="s">
        <v>53</v>
      </c>
      <c r="B56" s="29" t="s">
        <v>195</v>
      </c>
      <c r="C56" s="8" t="s">
        <v>196</v>
      </c>
      <c r="D56" s="8" t="s">
        <v>215</v>
      </c>
      <c r="E56" s="8" t="s">
        <v>216</v>
      </c>
      <c r="F56" s="8"/>
      <c r="G56" s="8" t="s">
        <v>62</v>
      </c>
      <c r="H56" s="8" t="s">
        <v>217</v>
      </c>
      <c r="I56" s="8" t="s">
        <v>214</v>
      </c>
      <c r="J56" s="8"/>
      <c r="K56" s="8"/>
      <c r="L56" s="8"/>
      <c r="M56" s="8"/>
      <c r="N56" s="8"/>
      <c r="O56" s="8"/>
      <c r="P56" s="8"/>
      <c r="Q56" s="157"/>
      <c r="R56" s="8"/>
      <c r="S56" s="8"/>
      <c r="T56" s="8"/>
      <c r="U56" s="8"/>
      <c r="V56" s="8"/>
      <c r="W56" s="8"/>
      <c r="X56" s="8"/>
      <c r="Y56" s="8"/>
      <c r="Z56" s="8"/>
      <c r="AA56" s="8"/>
      <c r="AB56" s="8"/>
      <c r="AC56" s="314" t="str">
        <f t="shared" si="18"/>
        <v>yes</v>
      </c>
      <c r="AD56" s="314">
        <f>COUNTA(first:Last!R56)</f>
        <v>1</v>
      </c>
      <c r="AE56" s="157">
        <f>SUM(first:Last!Z56)</f>
        <v>0</v>
      </c>
      <c r="AF56" s="157" t="str">
        <f t="shared" si="19"/>
        <v>yes</v>
      </c>
      <c r="AG56" s="157">
        <f>COUNTA(Last:end!M56)</f>
        <v>3</v>
      </c>
      <c r="AH56" s="520">
        <f>COUNTA(Last:end!M56)/6</f>
        <v>0.5</v>
      </c>
      <c r="AI56" s="157">
        <f>SUM(Last:end!O56)</f>
        <v>0</v>
      </c>
      <c r="AJ56" s="157">
        <f>MIN(Last:end!L56)</f>
        <v>2023</v>
      </c>
      <c r="AK56" s="157" t="e">
        <f>IF(AND(AJ56&lt;=2023,#REF!="high interest / inadequate offer "),"yes","no")</f>
        <v>#REF!</v>
      </c>
      <c r="AL56" s="157" t="str">
        <f t="shared" si="13"/>
        <v>no</v>
      </c>
      <c r="AM56" s="157"/>
      <c r="AN56" s="157"/>
      <c r="AO56" s="157"/>
      <c r="AP56" s="157">
        <v>1</v>
      </c>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row>
    <row r="57" spans="1:209" s="26" customFormat="1" ht="62.25" customHeight="1">
      <c r="A57" s="8" t="s">
        <v>53</v>
      </c>
      <c r="B57" s="29" t="s">
        <v>195</v>
      </c>
      <c r="C57" s="8" t="s">
        <v>196</v>
      </c>
      <c r="D57" s="8" t="s">
        <v>218</v>
      </c>
      <c r="E57" s="8" t="s">
        <v>219</v>
      </c>
      <c r="F57" s="8"/>
      <c r="G57" s="8" t="s">
        <v>62</v>
      </c>
      <c r="H57" s="8" t="s">
        <v>220</v>
      </c>
      <c r="I57" s="8" t="s">
        <v>221</v>
      </c>
      <c r="J57" s="8"/>
      <c r="K57" s="8"/>
      <c r="L57" s="8"/>
      <c r="M57" s="8"/>
      <c r="N57" s="8"/>
      <c r="O57" s="8"/>
      <c r="P57" s="8"/>
      <c r="Q57" s="157"/>
      <c r="R57" s="8"/>
      <c r="S57" s="8"/>
      <c r="T57" s="8"/>
      <c r="U57" s="8"/>
      <c r="V57" s="8"/>
      <c r="W57" s="8"/>
      <c r="X57" s="8"/>
      <c r="Y57" s="8"/>
      <c r="Z57" s="8"/>
      <c r="AA57" s="8"/>
      <c r="AB57" s="8"/>
      <c r="AC57" s="314" t="str">
        <f t="shared" si="18"/>
        <v>yes</v>
      </c>
      <c r="AD57" s="314">
        <f>COUNTA(first:Last!R57)</f>
        <v>1</v>
      </c>
      <c r="AE57" s="157">
        <f>SUM(first:Last!Z57)</f>
        <v>13000</v>
      </c>
      <c r="AF57" s="157" t="str">
        <f t="shared" si="19"/>
        <v>yes</v>
      </c>
      <c r="AG57" s="157">
        <f>COUNTA(Last:end!M57)</f>
        <v>3</v>
      </c>
      <c r="AH57" s="520">
        <f>COUNTA(Last:end!M57)/6</f>
        <v>0.5</v>
      </c>
      <c r="AI57" s="157">
        <f>SUM(Last:end!O57)</f>
        <v>0</v>
      </c>
      <c r="AJ57" s="157">
        <f>MIN(Last:end!L57)</f>
        <v>2023</v>
      </c>
      <c r="AK57" s="157" t="e">
        <f>IF(AND(AJ57&lt;=2023,#REF!="high interest / inadequate offer "),"yes","no")</f>
        <v>#REF!</v>
      </c>
      <c r="AL57" s="157" t="str">
        <f t="shared" si="13"/>
        <v>no</v>
      </c>
      <c r="AM57" s="157"/>
      <c r="AN57" s="157"/>
      <c r="AO57" s="157"/>
      <c r="AP57" s="157">
        <v>1</v>
      </c>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row>
    <row r="58" spans="1:209" s="26" customFormat="1" ht="62.25" customHeight="1">
      <c r="A58" s="8" t="s">
        <v>53</v>
      </c>
      <c r="B58" s="29" t="s">
        <v>195</v>
      </c>
      <c r="C58" s="8" t="s">
        <v>222</v>
      </c>
      <c r="D58" s="8" t="s">
        <v>223</v>
      </c>
      <c r="E58" s="8" t="s">
        <v>224</v>
      </c>
      <c r="F58" s="8"/>
      <c r="G58" s="64" t="s">
        <v>62</v>
      </c>
      <c r="H58" s="64" t="s">
        <v>225</v>
      </c>
      <c r="I58" s="65" t="s">
        <v>226</v>
      </c>
      <c r="J58" s="65"/>
      <c r="K58" s="64"/>
      <c r="L58" s="65"/>
      <c r="M58" s="65"/>
      <c r="N58" s="65"/>
      <c r="O58" s="65"/>
      <c r="P58" s="64"/>
      <c r="Q58" s="551"/>
      <c r="R58" s="65"/>
      <c r="S58" s="65"/>
      <c r="T58" s="65"/>
      <c r="U58" s="65"/>
      <c r="V58" s="65"/>
      <c r="W58" s="65"/>
      <c r="X58" s="65"/>
      <c r="Y58" s="65"/>
      <c r="Z58" s="65"/>
      <c r="AA58" s="64"/>
      <c r="AB58" s="64"/>
      <c r="AC58" s="65"/>
      <c r="AD58" s="65"/>
      <c r="AE58" s="65"/>
      <c r="AF58" s="65"/>
      <c r="AG58" s="20">
        <f>COUNTA(Last:end!M58)</f>
        <v>0</v>
      </c>
      <c r="AH58" s="22">
        <f>COUNTA(Last:end!M58)/6</f>
        <v>0</v>
      </c>
      <c r="AI58" s="65"/>
      <c r="AJ58" s="20">
        <f>MIN(Last:end!L58)</f>
        <v>0</v>
      </c>
      <c r="AK58" s="20" t="e">
        <f>IF(AND(AJ58&lt;=2023,#REF!="high interest / inadequate offer "),"yes","no")</f>
        <v>#REF!</v>
      </c>
      <c r="AL58" s="20" t="str">
        <f t="shared" si="13"/>
        <v>no</v>
      </c>
      <c r="AM58" s="157"/>
      <c r="AN58" s="157"/>
      <c r="AO58" s="157"/>
      <c r="AP58" s="157">
        <v>0</v>
      </c>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row>
    <row r="59" spans="1:209" s="26" customFormat="1" ht="62.25" customHeight="1">
      <c r="A59" s="8" t="s">
        <v>53</v>
      </c>
      <c r="B59" s="29" t="s">
        <v>195</v>
      </c>
      <c r="C59" s="8" t="s">
        <v>222</v>
      </c>
      <c r="D59" s="8" t="s">
        <v>227</v>
      </c>
      <c r="E59" s="69" t="s">
        <v>228</v>
      </c>
      <c r="F59" s="8"/>
      <c r="G59" s="8" t="s">
        <v>62</v>
      </c>
      <c r="H59" s="8" t="s">
        <v>229</v>
      </c>
      <c r="I59" s="8" t="s">
        <v>226</v>
      </c>
      <c r="J59" s="8"/>
      <c r="K59" s="8"/>
      <c r="L59" s="8"/>
      <c r="M59" s="8"/>
      <c r="N59" s="8"/>
      <c r="O59" s="8"/>
      <c r="P59" s="8"/>
      <c r="Q59" s="157"/>
      <c r="R59" s="8"/>
      <c r="S59" s="8"/>
      <c r="T59" s="8"/>
      <c r="U59" s="8"/>
      <c r="V59" s="8"/>
      <c r="W59" s="8"/>
      <c r="X59" s="8"/>
      <c r="Y59" s="8"/>
      <c r="Z59" s="8"/>
      <c r="AA59" s="8"/>
      <c r="AB59" s="8"/>
      <c r="AC59" s="314" t="str">
        <f t="shared" ref="AC59:AC72" si="20">IF(AD59&gt;0,"yes", "no")</f>
        <v>yes</v>
      </c>
      <c r="AD59" s="314">
        <f>COUNTA(first:Last!R59)</f>
        <v>2</v>
      </c>
      <c r="AE59" s="157">
        <f>SUM(first:Last!Z59)</f>
        <v>0</v>
      </c>
      <c r="AF59" s="157" t="str">
        <f t="shared" ref="AF59:AF72" si="21">IF(AH59&gt;0,"yes", "no")</f>
        <v>yes</v>
      </c>
      <c r="AG59" s="157">
        <f>COUNTA(Last:end!M59)</f>
        <v>2</v>
      </c>
      <c r="AH59" s="520">
        <f>COUNTA(Last:end!M59)/6</f>
        <v>0.33333333333333331</v>
      </c>
      <c r="AI59" s="157">
        <f>SUM(Last:end!O59)</f>
        <v>0</v>
      </c>
      <c r="AJ59" s="157">
        <f>MIN(Last:end!L59)</f>
        <v>2022</v>
      </c>
      <c r="AK59" s="157" t="e">
        <f>IF(AND(AJ59&lt;=2023,#REF!="high interest / inadequate offer "),"yes","no")</f>
        <v>#REF!</v>
      </c>
      <c r="AL59" s="157" t="str">
        <f t="shared" si="13"/>
        <v>yes</v>
      </c>
      <c r="AM59" s="157"/>
      <c r="AN59" s="157"/>
      <c r="AO59" s="157"/>
      <c r="AP59" s="157">
        <v>1</v>
      </c>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row>
    <row r="60" spans="1:209" s="26" customFormat="1" ht="62.25" customHeight="1">
      <c r="A60" s="8" t="s">
        <v>53</v>
      </c>
      <c r="B60" s="29" t="s">
        <v>195</v>
      </c>
      <c r="C60" s="8" t="s">
        <v>222</v>
      </c>
      <c r="D60" s="8" t="s">
        <v>230</v>
      </c>
      <c r="E60" s="69" t="s">
        <v>231</v>
      </c>
      <c r="F60" s="8"/>
      <c r="G60" s="8" t="s">
        <v>62</v>
      </c>
      <c r="H60" s="8" t="s">
        <v>232</v>
      </c>
      <c r="I60" s="8" t="s">
        <v>226</v>
      </c>
      <c r="J60" s="8"/>
      <c r="K60" s="8"/>
      <c r="L60" s="8"/>
      <c r="M60" s="8"/>
      <c r="N60" s="8"/>
      <c r="O60" s="8"/>
      <c r="P60" s="8"/>
      <c r="Q60" s="157"/>
      <c r="R60" s="8"/>
      <c r="S60" s="8"/>
      <c r="T60" s="8"/>
      <c r="U60" s="8"/>
      <c r="V60" s="8"/>
      <c r="W60" s="8"/>
      <c r="X60" s="8"/>
      <c r="Y60" s="8"/>
      <c r="Z60" s="8"/>
      <c r="AA60" s="8"/>
      <c r="AB60" s="8"/>
      <c r="AC60" s="314" t="str">
        <f t="shared" si="20"/>
        <v>yes</v>
      </c>
      <c r="AD60" s="314">
        <f>COUNTA(first:Last!R60)</f>
        <v>2</v>
      </c>
      <c r="AE60" s="157">
        <f>SUM(first:Last!Z60)</f>
        <v>0</v>
      </c>
      <c r="AF60" s="157" t="str">
        <f t="shared" si="21"/>
        <v>yes</v>
      </c>
      <c r="AG60" s="157">
        <f>COUNTA(Last:end!M60)</f>
        <v>3</v>
      </c>
      <c r="AH60" s="520">
        <f>COUNTA(Last:end!M60)/6</f>
        <v>0.5</v>
      </c>
      <c r="AI60" s="157">
        <f>SUM(Last:end!O60)</f>
        <v>0</v>
      </c>
      <c r="AJ60" s="157">
        <f>MIN(Last:end!L60)</f>
        <v>2023</v>
      </c>
      <c r="AK60" s="157" t="e">
        <f>IF(AND(AJ60&lt;=2023,#REF!="high interest / inadequate offer "),"yes","no")</f>
        <v>#REF!</v>
      </c>
      <c r="AL60" s="157" t="str">
        <f t="shared" si="13"/>
        <v>yes</v>
      </c>
      <c r="AM60" s="157"/>
      <c r="AN60" s="157"/>
      <c r="AO60" s="157"/>
      <c r="AP60" s="157">
        <v>1</v>
      </c>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row>
    <row r="61" spans="1:209" s="26" customFormat="1" ht="62.25" customHeight="1">
      <c r="A61" s="8" t="s">
        <v>53</v>
      </c>
      <c r="B61" s="29" t="s">
        <v>195</v>
      </c>
      <c r="C61" s="8" t="s">
        <v>222</v>
      </c>
      <c r="D61" s="8" t="s">
        <v>233</v>
      </c>
      <c r="E61" s="69" t="s">
        <v>234</v>
      </c>
      <c r="F61" s="8"/>
      <c r="G61" s="8" t="s">
        <v>62</v>
      </c>
      <c r="H61" s="8" t="s">
        <v>235</v>
      </c>
      <c r="I61" s="8" t="s">
        <v>226</v>
      </c>
      <c r="J61" s="8"/>
      <c r="K61" s="8"/>
      <c r="L61" s="8"/>
      <c r="M61" s="8"/>
      <c r="N61" s="8"/>
      <c r="O61" s="8"/>
      <c r="P61" s="8"/>
      <c r="Q61" s="157"/>
      <c r="R61" s="8"/>
      <c r="S61" s="8"/>
      <c r="T61" s="8"/>
      <c r="U61" s="8"/>
      <c r="V61" s="8"/>
      <c r="W61" s="8"/>
      <c r="X61" s="8"/>
      <c r="Y61" s="8"/>
      <c r="Z61" s="8"/>
      <c r="AA61" s="8"/>
      <c r="AB61" s="8"/>
      <c r="AC61" s="314" t="str">
        <f t="shared" si="20"/>
        <v>yes</v>
      </c>
      <c r="AD61" s="314">
        <f>COUNTA(first:Last!R61)</f>
        <v>1</v>
      </c>
      <c r="AE61" s="157">
        <f>SUM(first:Last!Z61)</f>
        <v>0</v>
      </c>
      <c r="AF61" s="157" t="str">
        <f t="shared" si="21"/>
        <v>yes</v>
      </c>
      <c r="AG61" s="157">
        <f>COUNTA(Last:end!M61)</f>
        <v>2</v>
      </c>
      <c r="AH61" s="520">
        <f>COUNTA(Last:end!M61)/6</f>
        <v>0.33333333333333331</v>
      </c>
      <c r="AI61" s="157">
        <f>SUM(Last:end!O61)</f>
        <v>0</v>
      </c>
      <c r="AJ61" s="157">
        <f>MIN(Last:end!L61)</f>
        <v>2023</v>
      </c>
      <c r="AK61" s="157" t="e">
        <f>IF(AND(AJ61&lt;=2023,#REF!="high interest / inadequate offer "),"yes","no")</f>
        <v>#REF!</v>
      </c>
      <c r="AL61" s="157" t="str">
        <f t="shared" si="13"/>
        <v>no</v>
      </c>
      <c r="AM61" s="157"/>
      <c r="AN61" s="157"/>
      <c r="AO61" s="157"/>
      <c r="AP61" s="157">
        <v>1</v>
      </c>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row>
    <row r="62" spans="1:209" s="26" customFormat="1" ht="62.25" customHeight="1">
      <c r="A62" s="8" t="s">
        <v>53</v>
      </c>
      <c r="B62" s="29" t="s">
        <v>195</v>
      </c>
      <c r="C62" s="8" t="s">
        <v>222</v>
      </c>
      <c r="D62" s="8" t="s">
        <v>236</v>
      </c>
      <c r="E62" s="69" t="s">
        <v>237</v>
      </c>
      <c r="F62" s="8"/>
      <c r="G62" s="8" t="s">
        <v>62</v>
      </c>
      <c r="H62" s="8" t="s">
        <v>238</v>
      </c>
      <c r="I62" s="8" t="s">
        <v>226</v>
      </c>
      <c r="J62" s="8"/>
      <c r="K62" s="8"/>
      <c r="L62" s="8"/>
      <c r="M62" s="8"/>
      <c r="N62" s="8"/>
      <c r="O62" s="8"/>
      <c r="P62" s="8"/>
      <c r="Q62" s="157"/>
      <c r="R62" s="8"/>
      <c r="S62" s="8"/>
      <c r="T62" s="8"/>
      <c r="U62" s="8"/>
      <c r="V62" s="8"/>
      <c r="W62" s="8"/>
      <c r="X62" s="8"/>
      <c r="Y62" s="8"/>
      <c r="Z62" s="8"/>
      <c r="AA62" s="8"/>
      <c r="AB62" s="8"/>
      <c r="AC62" s="314" t="str">
        <f t="shared" si="20"/>
        <v>yes</v>
      </c>
      <c r="AD62" s="314">
        <f>COUNTA(first:Last!R62)</f>
        <v>1</v>
      </c>
      <c r="AE62" s="157">
        <f>SUM(first:Last!Z62)</f>
        <v>0</v>
      </c>
      <c r="AF62" s="157" t="str">
        <f t="shared" si="21"/>
        <v>yes</v>
      </c>
      <c r="AG62" s="157">
        <f>COUNTA(Last:end!M62)</f>
        <v>3</v>
      </c>
      <c r="AH62" s="520">
        <f>COUNTA(Last:end!M62)/6</f>
        <v>0.5</v>
      </c>
      <c r="AI62" s="157">
        <f>SUM(Last:end!O62)</f>
        <v>0</v>
      </c>
      <c r="AJ62" s="157">
        <f>MIN(Last:end!L62)</f>
        <v>2023</v>
      </c>
      <c r="AK62" s="157" t="e">
        <f>IF(AND(AJ62&lt;=2023,#REF!="high interest / inadequate offer "),"yes","no")</f>
        <v>#REF!</v>
      </c>
      <c r="AL62" s="157" t="str">
        <f t="shared" si="13"/>
        <v>no</v>
      </c>
      <c r="AM62" s="157"/>
      <c r="AN62" s="157"/>
      <c r="AO62" s="157"/>
      <c r="AP62" s="157">
        <v>1</v>
      </c>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row>
    <row r="63" spans="1:209" s="26" customFormat="1" ht="62.25" customHeight="1">
      <c r="A63" s="8" t="s">
        <v>53</v>
      </c>
      <c r="B63" s="29" t="s">
        <v>195</v>
      </c>
      <c r="C63" s="8" t="s">
        <v>222</v>
      </c>
      <c r="D63" s="8" t="s">
        <v>239</v>
      </c>
      <c r="E63" s="69" t="s">
        <v>240</v>
      </c>
      <c r="F63" s="8"/>
      <c r="G63" s="8" t="s">
        <v>62</v>
      </c>
      <c r="H63" s="8" t="s">
        <v>241</v>
      </c>
      <c r="I63" s="8" t="s">
        <v>226</v>
      </c>
      <c r="J63" s="8"/>
      <c r="K63" s="8"/>
      <c r="L63" s="8"/>
      <c r="M63" s="8"/>
      <c r="N63" s="8"/>
      <c r="O63" s="8"/>
      <c r="P63" s="8"/>
      <c r="Q63" s="157"/>
      <c r="R63" s="8"/>
      <c r="S63" s="8"/>
      <c r="T63" s="8"/>
      <c r="U63" s="8"/>
      <c r="V63" s="8"/>
      <c r="W63" s="8"/>
      <c r="X63" s="8"/>
      <c r="Y63" s="8"/>
      <c r="Z63" s="8"/>
      <c r="AA63" s="8"/>
      <c r="AB63" s="8"/>
      <c r="AC63" s="314" t="str">
        <f t="shared" si="20"/>
        <v>yes</v>
      </c>
      <c r="AD63" s="314">
        <f>COUNTA(first:Last!R63)</f>
        <v>2</v>
      </c>
      <c r="AE63" s="157">
        <f>SUM(first:Last!Z63)</f>
        <v>0</v>
      </c>
      <c r="AF63" s="157" t="str">
        <f t="shared" si="21"/>
        <v>yes</v>
      </c>
      <c r="AG63" s="157">
        <f>COUNTA(Last:end!M63)</f>
        <v>3</v>
      </c>
      <c r="AH63" s="520">
        <f>COUNTA(Last:end!M63)/6</f>
        <v>0.5</v>
      </c>
      <c r="AI63" s="157">
        <f>SUM(Last:end!O63)</f>
        <v>0</v>
      </c>
      <c r="AJ63" s="157">
        <f>MIN(Last:end!L63)</f>
        <v>2023</v>
      </c>
      <c r="AK63" s="157" t="e">
        <f>IF(AND(AJ63&lt;=2023,#REF!="high interest / inadequate offer "),"yes","no")</f>
        <v>#REF!</v>
      </c>
      <c r="AL63" s="157" t="str">
        <f t="shared" si="13"/>
        <v>yes</v>
      </c>
      <c r="AM63" s="157"/>
      <c r="AN63" s="157"/>
      <c r="AO63" s="157"/>
      <c r="AP63" s="157">
        <v>1</v>
      </c>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row>
    <row r="64" spans="1:209" s="26" customFormat="1" ht="62.25" customHeight="1">
      <c r="A64" s="8" t="s">
        <v>53</v>
      </c>
      <c r="B64" s="29" t="s">
        <v>195</v>
      </c>
      <c r="C64" s="8" t="s">
        <v>222</v>
      </c>
      <c r="D64" s="8" t="s">
        <v>242</v>
      </c>
      <c r="E64" s="69" t="s">
        <v>243</v>
      </c>
      <c r="F64" s="8"/>
      <c r="G64" s="8" t="s">
        <v>62</v>
      </c>
      <c r="H64" s="8" t="s">
        <v>244</v>
      </c>
      <c r="I64" s="8" t="s">
        <v>226</v>
      </c>
      <c r="J64" s="8"/>
      <c r="K64" s="8"/>
      <c r="L64" s="8"/>
      <c r="M64" s="8"/>
      <c r="N64" s="8"/>
      <c r="O64" s="8"/>
      <c r="P64" s="8"/>
      <c r="Q64" s="157"/>
      <c r="R64" s="8"/>
      <c r="S64" s="8"/>
      <c r="T64" s="8"/>
      <c r="U64" s="8"/>
      <c r="V64" s="8"/>
      <c r="W64" s="8"/>
      <c r="X64" s="8"/>
      <c r="Y64" s="8"/>
      <c r="Z64" s="8"/>
      <c r="AA64" s="8"/>
      <c r="AB64" s="8"/>
      <c r="AC64" s="314" t="str">
        <f t="shared" si="20"/>
        <v>yes</v>
      </c>
      <c r="AD64" s="314">
        <f>COUNTA(first:Last!R64)</f>
        <v>2</v>
      </c>
      <c r="AE64" s="157">
        <f>SUM(first:Last!Z64)</f>
        <v>0</v>
      </c>
      <c r="AF64" s="157" t="str">
        <f t="shared" si="21"/>
        <v>yes</v>
      </c>
      <c r="AG64" s="157">
        <f>COUNTA(Last:end!M64)</f>
        <v>3</v>
      </c>
      <c r="AH64" s="520">
        <f>COUNTA(Last:end!M64)/6</f>
        <v>0.5</v>
      </c>
      <c r="AI64" s="157">
        <f>SUM(Last:end!O64)</f>
        <v>0</v>
      </c>
      <c r="AJ64" s="157">
        <f>MIN(Last:end!L64)</f>
        <v>2023</v>
      </c>
      <c r="AK64" s="157" t="e">
        <f>IF(AND(AJ64&lt;=2023,#REF!="high interest / inadequate offer "),"yes","no")</f>
        <v>#REF!</v>
      </c>
      <c r="AL64" s="157" t="str">
        <f t="shared" si="13"/>
        <v>yes</v>
      </c>
      <c r="AM64" s="157"/>
      <c r="AN64" s="157"/>
      <c r="AO64" s="157"/>
      <c r="AP64" s="157">
        <v>1</v>
      </c>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row>
    <row r="65" spans="1:209" s="26" customFormat="1" ht="62.25" customHeight="1">
      <c r="A65" s="8" t="s">
        <v>53</v>
      </c>
      <c r="B65" s="29" t="s">
        <v>195</v>
      </c>
      <c r="C65" s="8" t="s">
        <v>222</v>
      </c>
      <c r="D65" s="8" t="s">
        <v>245</v>
      </c>
      <c r="E65" s="69" t="s">
        <v>246</v>
      </c>
      <c r="F65" s="8"/>
      <c r="G65" s="8" t="s">
        <v>62</v>
      </c>
      <c r="H65" s="8" t="s">
        <v>247</v>
      </c>
      <c r="I65" s="8" t="s">
        <v>226</v>
      </c>
      <c r="J65" s="8"/>
      <c r="K65" s="8"/>
      <c r="L65" s="8"/>
      <c r="M65" s="8"/>
      <c r="N65" s="8"/>
      <c r="O65" s="8"/>
      <c r="P65" s="8"/>
      <c r="Q65" s="157"/>
      <c r="R65" s="8"/>
      <c r="S65" s="8"/>
      <c r="T65" s="8"/>
      <c r="U65" s="8"/>
      <c r="V65" s="8"/>
      <c r="W65" s="8"/>
      <c r="X65" s="8"/>
      <c r="Y65" s="8"/>
      <c r="Z65" s="8"/>
      <c r="AA65" s="8"/>
      <c r="AB65" s="8"/>
      <c r="AC65" s="314" t="str">
        <f t="shared" si="20"/>
        <v>yes</v>
      </c>
      <c r="AD65" s="314">
        <f>COUNTA(first:Last!R65)</f>
        <v>2</v>
      </c>
      <c r="AE65" s="157">
        <f>SUM(first:Last!Z65)</f>
        <v>0</v>
      </c>
      <c r="AF65" s="157" t="str">
        <f t="shared" si="21"/>
        <v>yes</v>
      </c>
      <c r="AG65" s="157">
        <f>COUNTA(Last:end!M65)</f>
        <v>2</v>
      </c>
      <c r="AH65" s="520">
        <f>COUNTA(Last:end!M65)/6</f>
        <v>0.33333333333333331</v>
      </c>
      <c r="AI65" s="157">
        <f>SUM(Last:end!O65)</f>
        <v>0</v>
      </c>
      <c r="AJ65" s="157">
        <f>MIN(Last:end!L65)</f>
        <v>2023</v>
      </c>
      <c r="AK65" s="157" t="e">
        <f>IF(AND(AJ65&lt;=2023,#REF!="high interest / inadequate offer "),"yes","no")</f>
        <v>#REF!</v>
      </c>
      <c r="AL65" s="157" t="str">
        <f t="shared" si="13"/>
        <v>yes</v>
      </c>
      <c r="AM65" s="157"/>
      <c r="AN65" s="157"/>
      <c r="AO65" s="157"/>
      <c r="AP65" s="157">
        <v>1</v>
      </c>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row>
    <row r="66" spans="1:209" s="26" customFormat="1" ht="62.25" customHeight="1">
      <c r="A66" s="8" t="s">
        <v>53</v>
      </c>
      <c r="B66" s="29" t="s">
        <v>195</v>
      </c>
      <c r="C66" s="8" t="s">
        <v>222</v>
      </c>
      <c r="D66" s="8" t="s">
        <v>248</v>
      </c>
      <c r="E66" s="69" t="s">
        <v>249</v>
      </c>
      <c r="F66" s="8"/>
      <c r="G66" s="8" t="s">
        <v>62</v>
      </c>
      <c r="H66" s="8" t="s">
        <v>250</v>
      </c>
      <c r="I66" s="8" t="s">
        <v>226</v>
      </c>
      <c r="J66" s="8"/>
      <c r="K66" s="8"/>
      <c r="L66" s="8"/>
      <c r="M66" s="8"/>
      <c r="N66" s="8"/>
      <c r="O66" s="8"/>
      <c r="P66" s="8"/>
      <c r="Q66" s="157"/>
      <c r="R66" s="8"/>
      <c r="S66" s="8"/>
      <c r="T66" s="8"/>
      <c r="U66" s="8"/>
      <c r="V66" s="8"/>
      <c r="W66" s="8"/>
      <c r="X66" s="8"/>
      <c r="Y66" s="8"/>
      <c r="Z66" s="8"/>
      <c r="AA66" s="8"/>
      <c r="AB66" s="8"/>
      <c r="AC66" s="314" t="str">
        <f t="shared" si="20"/>
        <v>yes</v>
      </c>
      <c r="AD66" s="314">
        <f>COUNTA(first:Last!R66)</f>
        <v>2</v>
      </c>
      <c r="AE66" s="157">
        <f>SUM(first:Last!Z66)</f>
        <v>0</v>
      </c>
      <c r="AF66" s="157" t="str">
        <f t="shared" si="21"/>
        <v>yes</v>
      </c>
      <c r="AG66" s="157">
        <f>COUNTA(Last:end!M66)</f>
        <v>4</v>
      </c>
      <c r="AH66" s="520">
        <f>COUNTA(Last:end!M66)/6</f>
        <v>0.66666666666666663</v>
      </c>
      <c r="AI66" s="157">
        <f>SUM(Last:end!O66)</f>
        <v>0</v>
      </c>
      <c r="AJ66" s="157">
        <f>MIN(Last:end!L66)</f>
        <v>2022</v>
      </c>
      <c r="AK66" s="157" t="e">
        <f>IF(AND(AJ66&lt;=2023,#REF!="high interest / inadequate offer "),"yes","no")</f>
        <v>#REF!</v>
      </c>
      <c r="AL66" s="157" t="str">
        <f t="shared" si="13"/>
        <v>yes</v>
      </c>
      <c r="AM66" s="157"/>
      <c r="AN66" s="157"/>
      <c r="AO66" s="157"/>
      <c r="AP66" s="157">
        <v>1</v>
      </c>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row>
    <row r="67" spans="1:209" s="26" customFormat="1" ht="62.25" customHeight="1">
      <c r="A67" s="8" t="s">
        <v>53</v>
      </c>
      <c r="B67" s="29" t="s">
        <v>195</v>
      </c>
      <c r="C67" s="8" t="s">
        <v>251</v>
      </c>
      <c r="D67" s="8" t="s">
        <v>252</v>
      </c>
      <c r="E67" s="8" t="s">
        <v>253</v>
      </c>
      <c r="F67" s="8"/>
      <c r="G67" s="8" t="s">
        <v>62</v>
      </c>
      <c r="H67" s="8" t="s">
        <v>254</v>
      </c>
      <c r="I67" s="8" t="s">
        <v>255</v>
      </c>
      <c r="J67" s="8"/>
      <c r="K67" s="8"/>
      <c r="L67" s="8"/>
      <c r="M67" s="8"/>
      <c r="N67" s="8"/>
      <c r="O67" s="8"/>
      <c r="P67" s="8"/>
      <c r="Q67" s="157"/>
      <c r="R67" s="8"/>
      <c r="S67" s="8"/>
      <c r="T67" s="8"/>
      <c r="U67" s="8"/>
      <c r="V67" s="8"/>
      <c r="W67" s="8"/>
      <c r="X67" s="8"/>
      <c r="Y67" s="8"/>
      <c r="Z67" s="8"/>
      <c r="AA67" s="8"/>
      <c r="AB67" s="8"/>
      <c r="AC67" s="314" t="str">
        <f t="shared" si="20"/>
        <v>yes</v>
      </c>
      <c r="AD67" s="314">
        <f>COUNTA(first:Last!R67)</f>
        <v>1</v>
      </c>
      <c r="AE67" s="157">
        <f>SUM(first:Last!Z67)</f>
        <v>0</v>
      </c>
      <c r="AF67" s="157" t="str">
        <f t="shared" si="21"/>
        <v>yes</v>
      </c>
      <c r="AG67" s="157">
        <f>COUNTA(Last:end!M67)</f>
        <v>2</v>
      </c>
      <c r="AH67" s="520">
        <f>COUNTA(Last:end!M67)/6</f>
        <v>0.33333333333333331</v>
      </c>
      <c r="AI67" s="157">
        <f>SUM(Last:end!O67)</f>
        <v>9600</v>
      </c>
      <c r="AJ67" s="157">
        <f>MIN(Last:end!L67)</f>
        <v>0</v>
      </c>
      <c r="AK67" s="157" t="e">
        <f>IF(AND(AJ67&lt;=2023,#REF!="high interest / inadequate offer "),"yes","no")</f>
        <v>#REF!</v>
      </c>
      <c r="AL67" s="157" t="str">
        <f t="shared" si="13"/>
        <v>no</v>
      </c>
      <c r="AM67" s="157"/>
      <c r="AN67" s="157"/>
      <c r="AO67" s="157"/>
      <c r="AP67" s="157">
        <v>1</v>
      </c>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row>
    <row r="68" spans="1:209" s="26" customFormat="1" ht="62.25" customHeight="1">
      <c r="A68" s="8" t="s">
        <v>53</v>
      </c>
      <c r="B68" s="29" t="s">
        <v>195</v>
      </c>
      <c r="C68" s="8" t="s">
        <v>256</v>
      </c>
      <c r="D68" s="8" t="s">
        <v>257</v>
      </c>
      <c r="E68" s="8" t="s">
        <v>258</v>
      </c>
      <c r="F68" s="8"/>
      <c r="G68" s="8" t="s">
        <v>62</v>
      </c>
      <c r="H68" s="8" t="s">
        <v>259</v>
      </c>
      <c r="I68" s="8" t="s">
        <v>260</v>
      </c>
      <c r="J68" s="8"/>
      <c r="K68" s="8"/>
      <c r="L68" s="8"/>
      <c r="M68" s="8"/>
      <c r="N68" s="8"/>
      <c r="O68" s="8"/>
      <c r="P68" s="8"/>
      <c r="Q68" s="157"/>
      <c r="R68" s="8"/>
      <c r="S68" s="8"/>
      <c r="T68" s="8"/>
      <c r="U68" s="8"/>
      <c r="V68" s="8"/>
      <c r="W68" s="8"/>
      <c r="X68" s="8"/>
      <c r="Y68" s="8"/>
      <c r="Z68" s="8"/>
      <c r="AA68" s="8"/>
      <c r="AB68" s="8"/>
      <c r="AC68" s="314" t="str">
        <f t="shared" si="20"/>
        <v>no</v>
      </c>
      <c r="AD68" s="314">
        <f>COUNTA(first:Last!R68)</f>
        <v>0</v>
      </c>
      <c r="AE68" s="157">
        <f>SUM(first:Last!Z68)</f>
        <v>0</v>
      </c>
      <c r="AF68" s="157" t="str">
        <f t="shared" si="21"/>
        <v>yes</v>
      </c>
      <c r="AG68" s="157">
        <f>COUNTA(Last:end!M68)</f>
        <v>1</v>
      </c>
      <c r="AH68" s="520">
        <f>COUNTA(Last:end!M68)/6</f>
        <v>0.16666666666666666</v>
      </c>
      <c r="AI68" s="157">
        <f>SUM(Last:end!O68)</f>
        <v>0</v>
      </c>
      <c r="AJ68" s="157">
        <f>MIN(Last:end!L68)</f>
        <v>0</v>
      </c>
      <c r="AK68" s="157" t="e">
        <f>IF(AND(AJ68&lt;=2023,#REF!="high interest / inadequate offer "),"yes","no")</f>
        <v>#REF!</v>
      </c>
      <c r="AL68" s="157" t="str">
        <f t="shared" ref="AL68:AL99" si="22">IF(AD68&gt;1,"yes", "no")</f>
        <v>no</v>
      </c>
      <c r="AM68" s="157"/>
      <c r="AN68" s="157"/>
      <c r="AO68" s="157"/>
      <c r="AP68" s="157">
        <v>1</v>
      </c>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row>
    <row r="69" spans="1:209" s="26" customFormat="1" ht="62.25" customHeight="1">
      <c r="A69" s="8" t="s">
        <v>53</v>
      </c>
      <c r="B69" s="29" t="s">
        <v>195</v>
      </c>
      <c r="C69" s="8" t="s">
        <v>256</v>
      </c>
      <c r="D69" s="8" t="s">
        <v>261</v>
      </c>
      <c r="E69" s="8" t="s">
        <v>262</v>
      </c>
      <c r="F69" s="8"/>
      <c r="G69" s="8" t="s">
        <v>62</v>
      </c>
      <c r="H69" s="8" t="s">
        <v>263</v>
      </c>
      <c r="I69" s="8" t="s">
        <v>260</v>
      </c>
      <c r="J69" s="8"/>
      <c r="K69" s="8"/>
      <c r="L69" s="8"/>
      <c r="M69" s="8"/>
      <c r="N69" s="8"/>
      <c r="O69" s="8"/>
      <c r="P69" s="8"/>
      <c r="Q69" s="157"/>
      <c r="R69" s="8"/>
      <c r="S69" s="8"/>
      <c r="T69" s="8"/>
      <c r="U69" s="8"/>
      <c r="V69" s="8"/>
      <c r="W69" s="8"/>
      <c r="X69" s="8"/>
      <c r="Y69" s="8"/>
      <c r="Z69" s="8"/>
      <c r="AA69" s="8"/>
      <c r="AB69" s="8"/>
      <c r="AC69" s="314" t="str">
        <f t="shared" si="20"/>
        <v>yes</v>
      </c>
      <c r="AD69" s="314">
        <f>COUNTA(first:Last!R69)</f>
        <v>1</v>
      </c>
      <c r="AE69" s="157">
        <f>SUM(first:Last!Z69)</f>
        <v>0</v>
      </c>
      <c r="AF69" s="157" t="str">
        <f t="shared" si="21"/>
        <v>yes</v>
      </c>
      <c r="AG69" s="157">
        <f>COUNTA(Last:end!M69)</f>
        <v>2</v>
      </c>
      <c r="AH69" s="520">
        <f>COUNTA(Last:end!M69)/6</f>
        <v>0.33333333333333331</v>
      </c>
      <c r="AI69" s="157">
        <f>SUM(Last:end!O69)</f>
        <v>0</v>
      </c>
      <c r="AJ69" s="157">
        <f>MIN(Last:end!L69)</f>
        <v>0</v>
      </c>
      <c r="AK69" s="157" t="e">
        <f>IF(AND(AJ69&lt;=2023,#REF!="high interest / inadequate offer "),"yes","no")</f>
        <v>#REF!</v>
      </c>
      <c r="AL69" s="157" t="str">
        <f t="shared" si="22"/>
        <v>no</v>
      </c>
      <c r="AM69" s="157"/>
      <c r="AN69" s="157"/>
      <c r="AO69" s="157"/>
      <c r="AP69" s="157">
        <v>1</v>
      </c>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row>
    <row r="70" spans="1:209" s="26" customFormat="1" ht="62.25" customHeight="1">
      <c r="A70" s="8" t="s">
        <v>53</v>
      </c>
      <c r="B70" s="29" t="s">
        <v>195</v>
      </c>
      <c r="C70" s="8" t="s">
        <v>256</v>
      </c>
      <c r="D70" s="8" t="s">
        <v>264</v>
      </c>
      <c r="E70" s="8" t="s">
        <v>265</v>
      </c>
      <c r="F70" s="8"/>
      <c r="G70" s="8" t="s">
        <v>62</v>
      </c>
      <c r="H70" s="8" t="s">
        <v>266</v>
      </c>
      <c r="I70" s="8" t="s">
        <v>260</v>
      </c>
      <c r="J70" s="8"/>
      <c r="K70" s="8"/>
      <c r="L70" s="8"/>
      <c r="M70" s="8"/>
      <c r="N70" s="8"/>
      <c r="O70" s="8"/>
      <c r="P70" s="8"/>
      <c r="Q70" s="157"/>
      <c r="R70" s="8"/>
      <c r="S70" s="8"/>
      <c r="T70" s="8"/>
      <c r="U70" s="8"/>
      <c r="V70" s="8"/>
      <c r="W70" s="8"/>
      <c r="X70" s="8"/>
      <c r="Y70" s="8"/>
      <c r="Z70" s="8"/>
      <c r="AA70" s="8"/>
      <c r="AB70" s="8"/>
      <c r="AC70" s="314" t="str">
        <f t="shared" si="20"/>
        <v>yes</v>
      </c>
      <c r="AD70" s="314">
        <f>COUNTA(first:Last!R70)</f>
        <v>1</v>
      </c>
      <c r="AE70" s="157">
        <f>SUM(first:Last!Z70)</f>
        <v>0</v>
      </c>
      <c r="AF70" s="157" t="str">
        <f t="shared" si="21"/>
        <v>yes</v>
      </c>
      <c r="AG70" s="157">
        <f>COUNTA(Last:end!M70)</f>
        <v>1</v>
      </c>
      <c r="AH70" s="520">
        <f>COUNTA(Last:end!M70)/6</f>
        <v>0.16666666666666666</v>
      </c>
      <c r="AI70" s="157">
        <f>SUM(Last:end!O70)</f>
        <v>0</v>
      </c>
      <c r="AJ70" s="157">
        <f>MIN(Last:end!L70)</f>
        <v>0</v>
      </c>
      <c r="AK70" s="157" t="e">
        <f>IF(AND(AJ70&lt;=2023,#REF!="high interest / inadequate offer "),"yes","no")</f>
        <v>#REF!</v>
      </c>
      <c r="AL70" s="157" t="str">
        <f t="shared" si="22"/>
        <v>no</v>
      </c>
      <c r="AM70" s="157"/>
      <c r="AN70" s="157"/>
      <c r="AO70" s="157"/>
      <c r="AP70" s="157">
        <v>1</v>
      </c>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row>
    <row r="71" spans="1:209" s="26" customFormat="1" ht="62.25" customHeight="1">
      <c r="A71" s="8" t="s">
        <v>53</v>
      </c>
      <c r="B71" s="29" t="s">
        <v>195</v>
      </c>
      <c r="C71" s="8" t="s">
        <v>256</v>
      </c>
      <c r="D71" s="8" t="s">
        <v>267</v>
      </c>
      <c r="E71" s="8" t="s">
        <v>268</v>
      </c>
      <c r="F71" s="8"/>
      <c r="G71" s="8" t="s">
        <v>62</v>
      </c>
      <c r="H71" s="8" t="s">
        <v>269</v>
      </c>
      <c r="I71" s="8" t="s">
        <v>270</v>
      </c>
      <c r="J71" s="8"/>
      <c r="K71" s="8"/>
      <c r="L71" s="8"/>
      <c r="M71" s="8"/>
      <c r="N71" s="8"/>
      <c r="O71" s="8"/>
      <c r="P71" s="8"/>
      <c r="Q71" s="157"/>
      <c r="R71" s="8"/>
      <c r="S71" s="8"/>
      <c r="T71" s="8"/>
      <c r="U71" s="8"/>
      <c r="V71" s="8"/>
      <c r="W71" s="8"/>
      <c r="X71" s="8"/>
      <c r="Y71" s="8"/>
      <c r="Z71" s="8"/>
      <c r="AA71" s="8"/>
      <c r="AB71" s="8"/>
      <c r="AC71" s="314" t="str">
        <f t="shared" si="20"/>
        <v>yes</v>
      </c>
      <c r="AD71" s="314">
        <f>COUNTA(first:Last!R71)</f>
        <v>1</v>
      </c>
      <c r="AE71" s="157">
        <f>SUM(first:Last!Z71)</f>
        <v>0</v>
      </c>
      <c r="AF71" s="157" t="str">
        <f t="shared" si="21"/>
        <v>yes</v>
      </c>
      <c r="AG71" s="157">
        <f>COUNTA(Last:end!M71)</f>
        <v>3</v>
      </c>
      <c r="AH71" s="520">
        <f>COUNTA(Last:end!M71)/6</f>
        <v>0.5</v>
      </c>
      <c r="AI71" s="157">
        <f>SUM(Last:end!O71)</f>
        <v>0</v>
      </c>
      <c r="AJ71" s="157">
        <f>MIN(Last:end!L71)</f>
        <v>2023</v>
      </c>
      <c r="AK71" s="157" t="e">
        <f>IF(AND(AJ71&lt;=2023,#REF!="high interest / inadequate offer "),"yes","no")</f>
        <v>#REF!</v>
      </c>
      <c r="AL71" s="157" t="str">
        <f t="shared" si="22"/>
        <v>no</v>
      </c>
      <c r="AM71" s="157"/>
      <c r="AN71" s="157"/>
      <c r="AO71" s="157"/>
      <c r="AP71" s="157">
        <v>1</v>
      </c>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row>
    <row r="72" spans="1:209" s="26" customFormat="1" ht="78.75">
      <c r="A72" s="8" t="s">
        <v>53</v>
      </c>
      <c r="B72" s="29" t="s">
        <v>195</v>
      </c>
      <c r="C72" s="8" t="s">
        <v>256</v>
      </c>
      <c r="D72" s="8" t="s">
        <v>271</v>
      </c>
      <c r="E72" s="8" t="s">
        <v>272</v>
      </c>
      <c r="F72" s="8"/>
      <c r="G72" s="8" t="s">
        <v>71</v>
      </c>
      <c r="H72" s="8" t="s">
        <v>273</v>
      </c>
      <c r="I72" s="8" t="s">
        <v>135</v>
      </c>
      <c r="J72" s="8"/>
      <c r="K72" s="8"/>
      <c r="L72" s="8"/>
      <c r="M72" s="8"/>
      <c r="N72" s="8"/>
      <c r="O72" s="8"/>
      <c r="P72" s="8"/>
      <c r="Q72" s="157"/>
      <c r="R72" s="8"/>
      <c r="S72" s="8"/>
      <c r="T72" s="8"/>
      <c r="U72" s="8"/>
      <c r="V72" s="8"/>
      <c r="W72" s="8"/>
      <c r="X72" s="8"/>
      <c r="Y72" s="8"/>
      <c r="Z72" s="8"/>
      <c r="AA72" s="8"/>
      <c r="AB72" s="8"/>
      <c r="AC72" s="314" t="str">
        <f t="shared" si="20"/>
        <v>yes</v>
      </c>
      <c r="AD72" s="314">
        <f>COUNTA(first:Last!R72)</f>
        <v>1</v>
      </c>
      <c r="AE72" s="157">
        <f>SUM(first:Last!Z72)</f>
        <v>0</v>
      </c>
      <c r="AF72" s="157" t="str">
        <f t="shared" si="21"/>
        <v>no</v>
      </c>
      <c r="AG72" s="157">
        <f>COUNTA(Last:end!M72)</f>
        <v>0</v>
      </c>
      <c r="AH72" s="520">
        <f>COUNTA(Last:end!M72)/6</f>
        <v>0</v>
      </c>
      <c r="AI72" s="157">
        <f>SUM(Last:end!O72)</f>
        <v>0</v>
      </c>
      <c r="AJ72" s="157">
        <f>MIN(Last:end!L72)</f>
        <v>0</v>
      </c>
      <c r="AK72" s="157" t="e">
        <f>IF(AND(AJ72&lt;=2023,#REF!="high interest / inadequate offer "),"yes","no")</f>
        <v>#REF!</v>
      </c>
      <c r="AL72" s="157" t="str">
        <f t="shared" si="22"/>
        <v>no</v>
      </c>
      <c r="AM72" s="157"/>
      <c r="AN72" s="157"/>
      <c r="AO72" s="157"/>
      <c r="AP72" s="157">
        <v>1</v>
      </c>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row>
    <row r="73" spans="1:209" s="26" customFormat="1" ht="62.25" customHeight="1">
      <c r="A73" s="8" t="s">
        <v>53</v>
      </c>
      <c r="B73" s="29" t="s">
        <v>274</v>
      </c>
      <c r="C73" s="8" t="s">
        <v>275</v>
      </c>
      <c r="D73" s="8" t="s">
        <v>276</v>
      </c>
      <c r="E73" s="8" t="s">
        <v>277</v>
      </c>
      <c r="F73" s="8"/>
      <c r="G73" s="20" t="s">
        <v>62</v>
      </c>
      <c r="H73" s="20"/>
      <c r="I73" s="20"/>
      <c r="J73" s="20"/>
      <c r="K73" s="20"/>
      <c r="L73" s="20"/>
      <c r="M73" s="20"/>
      <c r="N73" s="20"/>
      <c r="O73" s="20"/>
      <c r="P73" s="20"/>
      <c r="Q73" s="157"/>
      <c r="R73" s="20"/>
      <c r="S73" s="20"/>
      <c r="T73" s="20"/>
      <c r="U73" s="20"/>
      <c r="V73" s="20"/>
      <c r="W73" s="20"/>
      <c r="X73" s="20"/>
      <c r="Y73" s="20"/>
      <c r="Z73" s="20"/>
      <c r="AA73" s="20"/>
      <c r="AB73" s="20"/>
      <c r="AC73" s="65"/>
      <c r="AD73" s="65"/>
      <c r="AE73" s="65"/>
      <c r="AF73" s="65"/>
      <c r="AG73" s="20">
        <f>COUNTA(Last:end!M73)</f>
        <v>0</v>
      </c>
      <c r="AH73" s="22">
        <f>COUNTA(Last:end!M73)/6</f>
        <v>0</v>
      </c>
      <c r="AI73" s="65"/>
      <c r="AJ73" s="20">
        <f>MIN(Last:end!L73)</f>
        <v>0</v>
      </c>
      <c r="AK73" s="20" t="e">
        <f>IF(AND(AJ73&lt;=2023,#REF!="high interest / inadequate offer "),"yes","no")</f>
        <v>#REF!</v>
      </c>
      <c r="AL73" s="20" t="str">
        <f t="shared" si="22"/>
        <v>no</v>
      </c>
      <c r="AM73" s="157"/>
      <c r="AN73" s="157"/>
      <c r="AO73" s="157"/>
      <c r="AP73" s="157">
        <v>0</v>
      </c>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row>
    <row r="74" spans="1:209" s="26" customFormat="1" ht="62.25" customHeight="1">
      <c r="A74" s="8" t="s">
        <v>53</v>
      </c>
      <c r="B74" s="29" t="s">
        <v>274</v>
      </c>
      <c r="C74" s="8" t="s">
        <v>275</v>
      </c>
      <c r="D74" s="8" t="s">
        <v>278</v>
      </c>
      <c r="E74" s="69" t="s">
        <v>279</v>
      </c>
      <c r="F74" s="8"/>
      <c r="G74" s="8" t="s">
        <v>62</v>
      </c>
      <c r="H74" s="8" t="s">
        <v>280</v>
      </c>
      <c r="I74" s="17">
        <v>1</v>
      </c>
      <c r="J74" s="8"/>
      <c r="K74" s="8"/>
      <c r="L74" s="8"/>
      <c r="M74" s="8"/>
      <c r="N74" s="8"/>
      <c r="O74" s="8"/>
      <c r="P74" s="8"/>
      <c r="Q74" s="157"/>
      <c r="R74" s="8"/>
      <c r="S74" s="8"/>
      <c r="T74" s="8"/>
      <c r="U74" s="8"/>
      <c r="V74" s="8"/>
      <c r="W74" s="8"/>
      <c r="X74" s="8"/>
      <c r="Y74" s="8"/>
      <c r="Z74" s="8"/>
      <c r="AA74" s="8"/>
      <c r="AB74" s="8"/>
      <c r="AC74" s="314" t="str">
        <f t="shared" ref="AC74:AC80" si="23">IF(AD74&gt;0,"yes", "no")</f>
        <v>yes</v>
      </c>
      <c r="AD74" s="314">
        <f>COUNTA(first:Last!R74)</f>
        <v>2</v>
      </c>
      <c r="AE74" s="157">
        <f>SUM(first:Last!Z74)</f>
        <v>0</v>
      </c>
      <c r="AF74" s="157" t="str">
        <f t="shared" ref="AF74:AF80" si="24">IF(AH74&gt;0,"yes", "no")</f>
        <v>yes</v>
      </c>
      <c r="AG74" s="157">
        <f>COUNTA(Last:end!M74)</f>
        <v>2</v>
      </c>
      <c r="AH74" s="520">
        <f>COUNTA(Last:end!M74)/6</f>
        <v>0.33333333333333331</v>
      </c>
      <c r="AI74" s="157">
        <f>SUM(Last:end!O74)</f>
        <v>5000</v>
      </c>
      <c r="AJ74" s="157">
        <f>MIN(Last:end!L74)</f>
        <v>2023</v>
      </c>
      <c r="AK74" s="157" t="e">
        <f>IF(AND(AJ74&lt;=2023,#REF!="high interest / inadequate offer "),"yes","no")</f>
        <v>#REF!</v>
      </c>
      <c r="AL74" s="157" t="str">
        <f t="shared" si="22"/>
        <v>yes</v>
      </c>
      <c r="AM74" s="157"/>
      <c r="AN74" s="157"/>
      <c r="AO74" s="157"/>
      <c r="AP74" s="157">
        <v>1</v>
      </c>
      <c r="AQ74" s="1"/>
      <c r="AR74" s="1"/>
      <c r="AS74" s="1"/>
      <c r="AT74" s="1"/>
      <c r="AU74" s="1"/>
      <c r="AV74" s="1"/>
      <c r="AW74" s="52"/>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row>
    <row r="75" spans="1:209" s="26" customFormat="1" ht="62.25" customHeight="1">
      <c r="A75" s="8" t="s">
        <v>53</v>
      </c>
      <c r="B75" s="29" t="s">
        <v>274</v>
      </c>
      <c r="C75" s="8" t="s">
        <v>275</v>
      </c>
      <c r="D75" s="8" t="s">
        <v>281</v>
      </c>
      <c r="E75" s="69" t="s">
        <v>279</v>
      </c>
      <c r="F75" s="8"/>
      <c r="G75" s="8" t="s">
        <v>62</v>
      </c>
      <c r="H75" s="8" t="s">
        <v>282</v>
      </c>
      <c r="I75" s="17">
        <v>1</v>
      </c>
      <c r="J75" s="9"/>
      <c r="K75" s="9"/>
      <c r="L75" s="9"/>
      <c r="M75" s="9"/>
      <c r="N75" s="9"/>
      <c r="O75" s="9"/>
      <c r="P75" s="8"/>
      <c r="Q75" s="520"/>
      <c r="R75" s="9"/>
      <c r="S75" s="9"/>
      <c r="T75" s="9"/>
      <c r="U75" s="9"/>
      <c r="V75" s="9"/>
      <c r="W75" s="9"/>
      <c r="X75" s="9"/>
      <c r="Y75" s="9"/>
      <c r="Z75" s="9"/>
      <c r="AA75" s="8"/>
      <c r="AB75" s="8"/>
      <c r="AC75" s="314" t="str">
        <f t="shared" si="23"/>
        <v>yes</v>
      </c>
      <c r="AD75" s="314">
        <f>COUNTA(first:Last!R75)</f>
        <v>2</v>
      </c>
      <c r="AE75" s="157">
        <f>SUM(first:Last!Z75)</f>
        <v>0</v>
      </c>
      <c r="AF75" s="157" t="str">
        <f t="shared" si="24"/>
        <v>yes</v>
      </c>
      <c r="AG75" s="157">
        <f>COUNTA(Last:end!M75)</f>
        <v>2</v>
      </c>
      <c r="AH75" s="520">
        <f>COUNTA(Last:end!M75)/6</f>
        <v>0.33333333333333331</v>
      </c>
      <c r="AI75" s="157">
        <f>SUM(Last:end!O75)</f>
        <v>50000</v>
      </c>
      <c r="AJ75" s="157">
        <f>MIN(Last:end!L75)</f>
        <v>2023</v>
      </c>
      <c r="AK75" s="157" t="e">
        <f>IF(AND(AJ75&lt;=2023,#REF!="high interest / inadequate offer "),"yes","no")</f>
        <v>#REF!</v>
      </c>
      <c r="AL75" s="157" t="str">
        <f t="shared" si="22"/>
        <v>yes</v>
      </c>
      <c r="AM75" s="157"/>
      <c r="AN75" s="157"/>
      <c r="AO75" s="157"/>
      <c r="AP75" s="157">
        <v>1</v>
      </c>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row>
    <row r="76" spans="1:209" s="26" customFormat="1" ht="62.25" customHeight="1">
      <c r="A76" s="8" t="s">
        <v>53</v>
      </c>
      <c r="B76" s="29" t="s">
        <v>274</v>
      </c>
      <c r="C76" s="8" t="s">
        <v>275</v>
      </c>
      <c r="D76" s="8" t="s">
        <v>283</v>
      </c>
      <c r="E76" s="69" t="s">
        <v>284</v>
      </c>
      <c r="F76" s="8"/>
      <c r="G76" s="8" t="s">
        <v>62</v>
      </c>
      <c r="H76" s="8" t="s">
        <v>285</v>
      </c>
      <c r="I76" s="17">
        <v>1</v>
      </c>
      <c r="J76" s="8"/>
      <c r="K76" s="8"/>
      <c r="L76" s="8"/>
      <c r="M76" s="8"/>
      <c r="N76" s="8"/>
      <c r="O76" s="8"/>
      <c r="P76" s="8"/>
      <c r="Q76" s="157"/>
      <c r="R76" s="8"/>
      <c r="S76" s="8"/>
      <c r="T76" s="8"/>
      <c r="U76" s="8"/>
      <c r="V76" s="8"/>
      <c r="W76" s="8"/>
      <c r="X76" s="8"/>
      <c r="Y76" s="8"/>
      <c r="Z76" s="8"/>
      <c r="AA76" s="8"/>
      <c r="AB76" s="8"/>
      <c r="AC76" s="314" t="str">
        <f t="shared" si="23"/>
        <v>yes</v>
      </c>
      <c r="AD76" s="314">
        <f>COUNTA(first:Last!R76)</f>
        <v>2</v>
      </c>
      <c r="AE76" s="157">
        <f>SUM(first:Last!Z76)</f>
        <v>0</v>
      </c>
      <c r="AF76" s="157" t="str">
        <f t="shared" si="24"/>
        <v>yes</v>
      </c>
      <c r="AG76" s="157">
        <f>COUNTA(Last:end!M76)</f>
        <v>2</v>
      </c>
      <c r="AH76" s="520">
        <f>COUNTA(Last:end!M76)/6</f>
        <v>0.33333333333333331</v>
      </c>
      <c r="AI76" s="157">
        <f>SUM(Last:end!O76)</f>
        <v>0</v>
      </c>
      <c r="AJ76" s="157">
        <f>MIN(Last:end!L76)</f>
        <v>2022</v>
      </c>
      <c r="AK76" s="157" t="e">
        <f>IF(AND(AJ76&lt;=2023,#REF!="high interest / inadequate offer "),"yes","no")</f>
        <v>#REF!</v>
      </c>
      <c r="AL76" s="157" t="str">
        <f t="shared" si="22"/>
        <v>yes</v>
      </c>
      <c r="AM76" s="157"/>
      <c r="AN76" s="157"/>
      <c r="AO76" s="157"/>
      <c r="AP76" s="157">
        <v>1</v>
      </c>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row>
    <row r="77" spans="1:209" s="26" customFormat="1" ht="62.25" customHeight="1">
      <c r="A77" s="8" t="s">
        <v>53</v>
      </c>
      <c r="B77" s="29" t="s">
        <v>274</v>
      </c>
      <c r="C77" s="8" t="s">
        <v>275</v>
      </c>
      <c r="D77" s="8" t="s">
        <v>286</v>
      </c>
      <c r="E77" s="69" t="s">
        <v>284</v>
      </c>
      <c r="F77" s="8"/>
      <c r="G77" s="8" t="s">
        <v>62</v>
      </c>
      <c r="H77" s="8" t="s">
        <v>287</v>
      </c>
      <c r="I77" s="17">
        <v>1</v>
      </c>
      <c r="J77" s="8"/>
      <c r="K77" s="8"/>
      <c r="L77" s="8"/>
      <c r="M77" s="8"/>
      <c r="N77" s="8"/>
      <c r="O77" s="8"/>
      <c r="P77" s="8"/>
      <c r="Q77" s="157"/>
      <c r="R77" s="8"/>
      <c r="S77" s="8"/>
      <c r="T77" s="8"/>
      <c r="U77" s="8"/>
      <c r="V77" s="8"/>
      <c r="W77" s="8"/>
      <c r="X77" s="8"/>
      <c r="Y77" s="8"/>
      <c r="Z77" s="8"/>
      <c r="AA77" s="8"/>
      <c r="AB77" s="8"/>
      <c r="AC77" s="314" t="str">
        <f t="shared" si="23"/>
        <v>yes</v>
      </c>
      <c r="AD77" s="314">
        <f>COUNTA(first:Last!R77)</f>
        <v>2</v>
      </c>
      <c r="AE77" s="157">
        <f>SUM(first:Last!Z77)</f>
        <v>0</v>
      </c>
      <c r="AF77" s="157" t="str">
        <f t="shared" si="24"/>
        <v>yes</v>
      </c>
      <c r="AG77" s="157">
        <f>COUNTA(Last:end!M77)</f>
        <v>2</v>
      </c>
      <c r="AH77" s="520">
        <f>COUNTA(Last:end!M77)/6</f>
        <v>0.33333333333333331</v>
      </c>
      <c r="AI77" s="157">
        <f>SUM(Last:end!O77)</f>
        <v>0</v>
      </c>
      <c r="AJ77" s="157">
        <f>MIN(Last:end!L77)</f>
        <v>2023</v>
      </c>
      <c r="AK77" s="157" t="e">
        <f>IF(AND(AJ77&lt;=2023,#REF!="high interest / inadequate offer "),"yes","no")</f>
        <v>#REF!</v>
      </c>
      <c r="AL77" s="157" t="str">
        <f t="shared" si="22"/>
        <v>yes</v>
      </c>
      <c r="AM77" s="157"/>
      <c r="AN77" s="157"/>
      <c r="AO77" s="157"/>
      <c r="AP77" s="157">
        <v>1</v>
      </c>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row>
    <row r="78" spans="1:209" s="26" customFormat="1" ht="62.25" customHeight="1">
      <c r="A78" s="8" t="s">
        <v>53</v>
      </c>
      <c r="B78" s="29" t="s">
        <v>274</v>
      </c>
      <c r="C78" s="8" t="s">
        <v>275</v>
      </c>
      <c r="D78" s="8" t="s">
        <v>288</v>
      </c>
      <c r="E78" s="69" t="s">
        <v>289</v>
      </c>
      <c r="F78" s="8"/>
      <c r="G78" s="8" t="s">
        <v>62</v>
      </c>
      <c r="H78" s="8" t="s">
        <v>290</v>
      </c>
      <c r="I78" s="17">
        <v>1</v>
      </c>
      <c r="J78" s="8"/>
      <c r="K78" s="8"/>
      <c r="L78" s="8"/>
      <c r="M78" s="8"/>
      <c r="N78" s="8"/>
      <c r="O78" s="8"/>
      <c r="P78" s="8"/>
      <c r="Q78" s="157"/>
      <c r="R78" s="8"/>
      <c r="S78" s="8"/>
      <c r="T78" s="8"/>
      <c r="U78" s="8"/>
      <c r="V78" s="8"/>
      <c r="W78" s="8"/>
      <c r="X78" s="8"/>
      <c r="Y78" s="8"/>
      <c r="Z78" s="8"/>
      <c r="AA78" s="8"/>
      <c r="AB78" s="8"/>
      <c r="AC78" s="314" t="str">
        <f t="shared" si="23"/>
        <v>yes</v>
      </c>
      <c r="AD78" s="314">
        <f>COUNTA(first:Last!R78)</f>
        <v>3</v>
      </c>
      <c r="AE78" s="157">
        <f>SUM(first:Last!Z78)</f>
        <v>0</v>
      </c>
      <c r="AF78" s="157" t="str">
        <f t="shared" si="24"/>
        <v>yes</v>
      </c>
      <c r="AG78" s="157">
        <f>COUNTA(Last:end!M78)</f>
        <v>2</v>
      </c>
      <c r="AH78" s="520">
        <f>COUNTA(Last:end!M78)/6</f>
        <v>0.33333333333333331</v>
      </c>
      <c r="AI78" s="157">
        <f>SUM(Last:end!O78)</f>
        <v>5000</v>
      </c>
      <c r="AJ78" s="157">
        <f>MIN(Last:end!L78)</f>
        <v>2022</v>
      </c>
      <c r="AK78" s="157" t="e">
        <f>IF(AND(AJ78&lt;=2023,#REF!="high interest / inadequate offer "),"yes","no")</f>
        <v>#REF!</v>
      </c>
      <c r="AL78" s="157" t="str">
        <f t="shared" si="22"/>
        <v>yes</v>
      </c>
      <c r="AM78" s="157"/>
      <c r="AN78" s="157"/>
      <c r="AO78" s="157"/>
      <c r="AP78" s="157">
        <v>1</v>
      </c>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row>
    <row r="79" spans="1:209" s="26" customFormat="1" ht="62.25" customHeight="1">
      <c r="A79" s="8" t="s">
        <v>53</v>
      </c>
      <c r="B79" s="29" t="s">
        <v>274</v>
      </c>
      <c r="C79" s="8" t="s">
        <v>275</v>
      </c>
      <c r="D79" s="8" t="s">
        <v>291</v>
      </c>
      <c r="E79" s="69" t="s">
        <v>289</v>
      </c>
      <c r="F79" s="8"/>
      <c r="G79" s="8" t="s">
        <v>62</v>
      </c>
      <c r="H79" s="8" t="s">
        <v>292</v>
      </c>
      <c r="I79" s="17">
        <v>1</v>
      </c>
      <c r="J79" s="8"/>
      <c r="K79" s="8"/>
      <c r="L79" s="8"/>
      <c r="M79" s="8"/>
      <c r="N79" s="8"/>
      <c r="O79" s="8"/>
      <c r="P79" s="8"/>
      <c r="Q79" s="157"/>
      <c r="R79" s="8"/>
      <c r="S79" s="8"/>
      <c r="T79" s="8"/>
      <c r="U79" s="8"/>
      <c r="V79" s="8"/>
      <c r="W79" s="8"/>
      <c r="X79" s="8"/>
      <c r="Y79" s="8"/>
      <c r="Z79" s="8"/>
      <c r="AA79" s="8"/>
      <c r="AB79" s="8"/>
      <c r="AC79" s="314" t="str">
        <f t="shared" si="23"/>
        <v>yes</v>
      </c>
      <c r="AD79" s="314">
        <f>COUNTA(first:Last!R79)</f>
        <v>2</v>
      </c>
      <c r="AE79" s="157">
        <f>SUM(first:Last!Z79)</f>
        <v>0</v>
      </c>
      <c r="AF79" s="157" t="str">
        <f t="shared" si="24"/>
        <v>yes</v>
      </c>
      <c r="AG79" s="157">
        <f>COUNTA(Last:end!M79)</f>
        <v>2</v>
      </c>
      <c r="AH79" s="520">
        <f>COUNTA(Last:end!M79)/6</f>
        <v>0.33333333333333331</v>
      </c>
      <c r="AI79" s="157">
        <f>SUM(Last:end!O79)</f>
        <v>25000</v>
      </c>
      <c r="AJ79" s="157">
        <f>MIN(Last:end!L79)</f>
        <v>2023</v>
      </c>
      <c r="AK79" s="157" t="e">
        <f>IF(AND(AJ79&lt;=2023,#REF!="high interest / inadequate offer "),"yes","no")</f>
        <v>#REF!</v>
      </c>
      <c r="AL79" s="157" t="str">
        <f t="shared" si="22"/>
        <v>yes</v>
      </c>
      <c r="AM79" s="157"/>
      <c r="AN79" s="157"/>
      <c r="AO79" s="157"/>
      <c r="AP79" s="157">
        <v>1</v>
      </c>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row>
    <row r="80" spans="1:209" s="26" customFormat="1" ht="78.75">
      <c r="A80" s="8" t="s">
        <v>53</v>
      </c>
      <c r="B80" s="29" t="s">
        <v>274</v>
      </c>
      <c r="C80" s="8" t="s">
        <v>293</v>
      </c>
      <c r="D80" s="8" t="s">
        <v>294</v>
      </c>
      <c r="E80" s="8" t="s">
        <v>295</v>
      </c>
      <c r="F80" s="8"/>
      <c r="G80" s="8" t="s">
        <v>71</v>
      </c>
      <c r="H80" s="8" t="s">
        <v>296</v>
      </c>
      <c r="I80" s="8" t="s">
        <v>297</v>
      </c>
      <c r="J80" s="8"/>
      <c r="K80" s="8"/>
      <c r="L80" s="8"/>
      <c r="M80" s="8"/>
      <c r="N80" s="8"/>
      <c r="O80" s="8"/>
      <c r="P80" s="8"/>
      <c r="Q80" s="157"/>
      <c r="R80" s="8"/>
      <c r="S80" s="8"/>
      <c r="T80" s="8"/>
      <c r="U80" s="8"/>
      <c r="V80" s="8"/>
      <c r="W80" s="8"/>
      <c r="X80" s="8"/>
      <c r="Y80" s="8"/>
      <c r="Z80" s="8"/>
      <c r="AA80" s="8"/>
      <c r="AB80" s="8"/>
      <c r="AC80" s="314" t="str">
        <f t="shared" si="23"/>
        <v>yes</v>
      </c>
      <c r="AD80" s="314">
        <f>COUNTA(first:Last!R80)</f>
        <v>1</v>
      </c>
      <c r="AE80" s="157">
        <f>SUM(first:Last!Z80)</f>
        <v>0</v>
      </c>
      <c r="AF80" s="157" t="str">
        <f t="shared" si="24"/>
        <v>no</v>
      </c>
      <c r="AG80" s="157">
        <f>COUNTA(Last:end!M80)</f>
        <v>0</v>
      </c>
      <c r="AH80" s="520">
        <f>COUNTA(Last:end!M80)/6</f>
        <v>0</v>
      </c>
      <c r="AI80" s="157">
        <f>SUM(Last:end!O80)</f>
        <v>0</v>
      </c>
      <c r="AJ80" s="157">
        <f>MIN(Last:end!L80)</f>
        <v>0</v>
      </c>
      <c r="AK80" s="157" t="e">
        <f>IF(AND(AJ80&lt;=2023,#REF!="high interest / inadequate offer "),"yes","no")</f>
        <v>#REF!</v>
      </c>
      <c r="AL80" s="157" t="str">
        <f t="shared" si="22"/>
        <v>no</v>
      </c>
      <c r="AM80" s="157"/>
      <c r="AN80" s="157"/>
      <c r="AO80" s="157"/>
      <c r="AP80" s="157">
        <v>1</v>
      </c>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row>
    <row r="81" spans="1:209" s="26" customFormat="1" ht="62.25" customHeight="1">
      <c r="A81" s="8" t="s">
        <v>53</v>
      </c>
      <c r="B81" s="29" t="s">
        <v>274</v>
      </c>
      <c r="C81" s="8" t="s">
        <v>298</v>
      </c>
      <c r="D81" s="8" t="s">
        <v>299</v>
      </c>
      <c r="E81" s="8" t="s">
        <v>300</v>
      </c>
      <c r="F81" s="8"/>
      <c r="G81" s="20" t="s">
        <v>62</v>
      </c>
      <c r="H81" s="20"/>
      <c r="I81" s="20"/>
      <c r="J81" s="20"/>
      <c r="K81" s="20"/>
      <c r="L81" s="20"/>
      <c r="M81" s="20"/>
      <c r="N81" s="20"/>
      <c r="O81" s="20"/>
      <c r="P81" s="20"/>
      <c r="Q81" s="157"/>
      <c r="R81" s="20"/>
      <c r="S81" s="20"/>
      <c r="T81" s="20"/>
      <c r="U81" s="20"/>
      <c r="V81" s="20"/>
      <c r="W81" s="20"/>
      <c r="X81" s="20"/>
      <c r="Y81" s="20"/>
      <c r="Z81" s="20"/>
      <c r="AA81" s="20"/>
      <c r="AB81" s="20"/>
      <c r="AC81" s="65"/>
      <c r="AD81" s="65"/>
      <c r="AE81" s="65"/>
      <c r="AF81" s="65"/>
      <c r="AG81" s="20">
        <f>COUNTA(Last:end!M81)</f>
        <v>0</v>
      </c>
      <c r="AH81" s="22">
        <f>COUNTA(Last:end!M81)/6</f>
        <v>0</v>
      </c>
      <c r="AI81" s="65"/>
      <c r="AJ81" s="20">
        <f>MIN(Last:end!L81)</f>
        <v>0</v>
      </c>
      <c r="AK81" s="20" t="e">
        <f>IF(AND(AJ81&lt;=2023,#REF!="high interest / inadequate offer "),"yes","no")</f>
        <v>#REF!</v>
      </c>
      <c r="AL81" s="20" t="str">
        <f t="shared" si="22"/>
        <v>no</v>
      </c>
      <c r="AM81" s="157"/>
      <c r="AN81" s="157"/>
      <c r="AO81" s="157"/>
      <c r="AP81" s="157">
        <v>0</v>
      </c>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row>
    <row r="82" spans="1:209" s="26" customFormat="1" ht="62.25" customHeight="1">
      <c r="A82" s="8" t="s">
        <v>53</v>
      </c>
      <c r="B82" s="29" t="s">
        <v>274</v>
      </c>
      <c r="C82" s="8" t="s">
        <v>298</v>
      </c>
      <c r="D82" s="8" t="s">
        <v>301</v>
      </c>
      <c r="E82" s="69" t="s">
        <v>302</v>
      </c>
      <c r="F82" s="8"/>
      <c r="G82" s="8" t="s">
        <v>62</v>
      </c>
      <c r="H82" s="8" t="s">
        <v>303</v>
      </c>
      <c r="I82" s="8" t="s">
        <v>210</v>
      </c>
      <c r="J82" s="8"/>
      <c r="K82" s="8"/>
      <c r="L82" s="8"/>
      <c r="M82" s="8"/>
      <c r="N82" s="8"/>
      <c r="O82" s="8"/>
      <c r="P82" s="8"/>
      <c r="Q82" s="157"/>
      <c r="R82" s="8"/>
      <c r="S82" s="8"/>
      <c r="T82" s="8"/>
      <c r="U82" s="8"/>
      <c r="V82" s="8"/>
      <c r="W82" s="8"/>
      <c r="X82" s="8"/>
      <c r="Y82" s="8"/>
      <c r="Z82" s="8"/>
      <c r="AA82" s="8"/>
      <c r="AB82" s="8"/>
      <c r="AC82" s="314" t="str">
        <f t="shared" ref="AC82:AC87" si="25">IF(AD82&gt;0,"yes", "no")</f>
        <v>yes</v>
      </c>
      <c r="AD82" s="314">
        <f>COUNTA(first:Last!R82)</f>
        <v>2</v>
      </c>
      <c r="AE82" s="157">
        <f>SUM(first:Last!Z82)</f>
        <v>0</v>
      </c>
      <c r="AF82" s="157" t="str">
        <f t="shared" ref="AF82:AF87" si="26">IF(AH82&gt;0,"yes", "no")</f>
        <v>yes</v>
      </c>
      <c r="AG82" s="157">
        <f>COUNTA(Last:end!M82)</f>
        <v>2</v>
      </c>
      <c r="AH82" s="520">
        <f>COUNTA(Last:end!M82)/6</f>
        <v>0.33333333333333331</v>
      </c>
      <c r="AI82" s="157">
        <f>SUM(Last:end!O82)</f>
        <v>3000</v>
      </c>
      <c r="AJ82" s="157">
        <f>MIN(Last:end!L82)</f>
        <v>0</v>
      </c>
      <c r="AK82" s="157" t="e">
        <f>IF(AND(AJ82&lt;=2023,#REF!="high interest / inadequate offer "),"yes","no")</f>
        <v>#REF!</v>
      </c>
      <c r="AL82" s="157" t="str">
        <f t="shared" si="22"/>
        <v>yes</v>
      </c>
      <c r="AM82" s="157"/>
      <c r="AN82" s="157"/>
      <c r="AO82" s="157"/>
      <c r="AP82" s="157">
        <v>1</v>
      </c>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row>
    <row r="83" spans="1:209" s="26" customFormat="1" ht="62.25" customHeight="1">
      <c r="A83" s="8" t="s">
        <v>53</v>
      </c>
      <c r="B83" s="29" t="s">
        <v>274</v>
      </c>
      <c r="C83" s="8" t="s">
        <v>298</v>
      </c>
      <c r="D83" s="8" t="s">
        <v>304</v>
      </c>
      <c r="E83" s="69" t="s">
        <v>305</v>
      </c>
      <c r="F83" s="8"/>
      <c r="G83" s="8" t="s">
        <v>62</v>
      </c>
      <c r="H83" s="8" t="s">
        <v>306</v>
      </c>
      <c r="I83" s="8" t="s">
        <v>210</v>
      </c>
      <c r="J83" s="8"/>
      <c r="K83" s="8"/>
      <c r="L83" s="8"/>
      <c r="M83" s="8"/>
      <c r="N83" s="8"/>
      <c r="O83" s="8"/>
      <c r="P83" s="8"/>
      <c r="Q83" s="157"/>
      <c r="R83" s="8"/>
      <c r="S83" s="8"/>
      <c r="T83" s="8"/>
      <c r="U83" s="8"/>
      <c r="V83" s="8"/>
      <c r="W83" s="8"/>
      <c r="X83" s="8"/>
      <c r="Y83" s="8"/>
      <c r="Z83" s="8"/>
      <c r="AA83" s="8"/>
      <c r="AB83" s="8"/>
      <c r="AC83" s="314" t="str">
        <f t="shared" si="25"/>
        <v>yes</v>
      </c>
      <c r="AD83" s="314">
        <f>COUNTA(first:Last!R83)</f>
        <v>2</v>
      </c>
      <c r="AE83" s="157">
        <f>SUM(first:Last!Z83)</f>
        <v>0</v>
      </c>
      <c r="AF83" s="157" t="str">
        <f t="shared" si="26"/>
        <v>yes</v>
      </c>
      <c r="AG83" s="157">
        <f>COUNTA(Last:end!M83)</f>
        <v>4</v>
      </c>
      <c r="AH83" s="520">
        <f>COUNTA(Last:end!M83)/6</f>
        <v>0.66666666666666663</v>
      </c>
      <c r="AI83" s="157">
        <f>SUM(Last:end!O83)</f>
        <v>300000</v>
      </c>
      <c r="AJ83" s="157">
        <f>MIN(Last:end!L83)</f>
        <v>0</v>
      </c>
      <c r="AK83" s="157" t="e">
        <f>IF(AND(AJ83&lt;=2023,#REF!="high interest / inadequate offer "),"yes","no")</f>
        <v>#REF!</v>
      </c>
      <c r="AL83" s="157" t="str">
        <f t="shared" si="22"/>
        <v>yes</v>
      </c>
      <c r="AM83" s="157"/>
      <c r="AN83" s="157"/>
      <c r="AO83" s="157"/>
      <c r="AP83" s="157">
        <v>1</v>
      </c>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row>
    <row r="84" spans="1:209" s="26" customFormat="1" ht="62.25" customHeight="1">
      <c r="A84" s="8" t="s">
        <v>53</v>
      </c>
      <c r="B84" s="29" t="s">
        <v>274</v>
      </c>
      <c r="C84" s="8" t="s">
        <v>298</v>
      </c>
      <c r="D84" s="8" t="s">
        <v>307</v>
      </c>
      <c r="E84" s="69" t="s">
        <v>308</v>
      </c>
      <c r="F84" s="8"/>
      <c r="G84" s="8" t="s">
        <v>62</v>
      </c>
      <c r="H84" s="8" t="s">
        <v>309</v>
      </c>
      <c r="I84" s="8" t="s">
        <v>210</v>
      </c>
      <c r="J84" s="8"/>
      <c r="K84" s="8"/>
      <c r="L84" s="8"/>
      <c r="M84" s="8"/>
      <c r="N84" s="8"/>
      <c r="O84" s="8"/>
      <c r="P84" s="8"/>
      <c r="Q84" s="157"/>
      <c r="R84" s="8"/>
      <c r="S84" s="8"/>
      <c r="T84" s="8"/>
      <c r="U84" s="8"/>
      <c r="V84" s="8"/>
      <c r="W84" s="8"/>
      <c r="X84" s="8"/>
      <c r="Y84" s="8"/>
      <c r="Z84" s="8"/>
      <c r="AA84" s="8"/>
      <c r="AB84" s="8"/>
      <c r="AC84" s="314" t="str">
        <f t="shared" si="25"/>
        <v>yes</v>
      </c>
      <c r="AD84" s="314">
        <f>COUNTA(first:Last!R84)</f>
        <v>1</v>
      </c>
      <c r="AE84" s="157">
        <f>SUM(first:Last!Z84)</f>
        <v>0</v>
      </c>
      <c r="AF84" s="157" t="str">
        <f t="shared" si="26"/>
        <v>yes</v>
      </c>
      <c r="AG84" s="157">
        <f>COUNTA(Last:end!M84)</f>
        <v>3</v>
      </c>
      <c r="AH84" s="520">
        <f>COUNTA(Last:end!M84)/6</f>
        <v>0.5</v>
      </c>
      <c r="AI84" s="157">
        <f>SUM(Last:end!O84)</f>
        <v>0</v>
      </c>
      <c r="AJ84" s="157">
        <f>MIN(Last:end!L84)</f>
        <v>2022</v>
      </c>
      <c r="AK84" s="157" t="e">
        <f>IF(AND(AJ84&lt;=2023,#REF!="high interest / inadequate offer "),"yes","no")</f>
        <v>#REF!</v>
      </c>
      <c r="AL84" s="157" t="str">
        <f t="shared" si="22"/>
        <v>no</v>
      </c>
      <c r="AM84" s="157"/>
      <c r="AN84" s="157"/>
      <c r="AO84" s="157"/>
      <c r="AP84" s="157">
        <v>1</v>
      </c>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row>
    <row r="85" spans="1:209" s="26" customFormat="1" ht="62.25" customHeight="1">
      <c r="A85" s="8" t="s">
        <v>53</v>
      </c>
      <c r="B85" s="29" t="s">
        <v>274</v>
      </c>
      <c r="C85" s="8" t="s">
        <v>298</v>
      </c>
      <c r="D85" s="8" t="s">
        <v>310</v>
      </c>
      <c r="E85" s="69" t="s">
        <v>311</v>
      </c>
      <c r="F85" s="8"/>
      <c r="G85" s="8" t="s">
        <v>62</v>
      </c>
      <c r="H85" s="8" t="s">
        <v>312</v>
      </c>
      <c r="I85" s="17">
        <v>1</v>
      </c>
      <c r="J85" s="8"/>
      <c r="K85" s="8"/>
      <c r="L85" s="8"/>
      <c r="M85" s="8"/>
      <c r="N85" s="8"/>
      <c r="O85" s="8"/>
      <c r="P85" s="8"/>
      <c r="Q85" s="157"/>
      <c r="R85" s="8"/>
      <c r="S85" s="8"/>
      <c r="T85" s="8"/>
      <c r="U85" s="8"/>
      <c r="V85" s="8"/>
      <c r="W85" s="8"/>
      <c r="X85" s="8"/>
      <c r="Y85" s="8"/>
      <c r="Z85" s="8"/>
      <c r="AA85" s="8"/>
      <c r="AB85" s="8"/>
      <c r="AC85" s="314" t="str">
        <f t="shared" si="25"/>
        <v>yes</v>
      </c>
      <c r="AD85" s="314">
        <f>COUNTA(first:Last!R85)</f>
        <v>1</v>
      </c>
      <c r="AE85" s="157">
        <f>SUM(first:Last!Z85)</f>
        <v>0</v>
      </c>
      <c r="AF85" s="157" t="str">
        <f t="shared" si="26"/>
        <v>yes</v>
      </c>
      <c r="AG85" s="157">
        <f>COUNTA(Last:end!M85)</f>
        <v>3</v>
      </c>
      <c r="AH85" s="520">
        <f>COUNTA(Last:end!M85)/6</f>
        <v>0.5</v>
      </c>
      <c r="AI85" s="157">
        <f>SUM(Last:end!O85)</f>
        <v>0</v>
      </c>
      <c r="AJ85" s="157">
        <f>MIN(Last:end!L85)</f>
        <v>2023</v>
      </c>
      <c r="AK85" s="157" t="e">
        <f>IF(AND(AJ85&lt;=2023,#REF!="high interest / inadequate offer "),"yes","no")</f>
        <v>#REF!</v>
      </c>
      <c r="AL85" s="157" t="str">
        <f t="shared" si="22"/>
        <v>no</v>
      </c>
      <c r="AM85" s="157"/>
      <c r="AN85" s="157"/>
      <c r="AO85" s="157"/>
      <c r="AP85" s="157">
        <v>1</v>
      </c>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row>
    <row r="86" spans="1:209" s="26" customFormat="1" ht="62.25" customHeight="1">
      <c r="A86" s="8" t="s">
        <v>53</v>
      </c>
      <c r="B86" s="29" t="s">
        <v>274</v>
      </c>
      <c r="C86" s="8" t="s">
        <v>298</v>
      </c>
      <c r="D86" s="8" t="s">
        <v>313</v>
      </c>
      <c r="E86" s="8" t="s">
        <v>314</v>
      </c>
      <c r="F86" s="8"/>
      <c r="G86" s="8" t="s">
        <v>62</v>
      </c>
      <c r="H86" s="8" t="s">
        <v>315</v>
      </c>
      <c r="I86" s="8" t="s">
        <v>221</v>
      </c>
      <c r="J86" s="8"/>
      <c r="K86" s="8"/>
      <c r="L86" s="8"/>
      <c r="M86" s="8"/>
      <c r="N86" s="8"/>
      <c r="O86" s="8"/>
      <c r="P86" s="8"/>
      <c r="Q86" s="157"/>
      <c r="R86" s="8"/>
      <c r="S86" s="8"/>
      <c r="T86" s="8"/>
      <c r="U86" s="8"/>
      <c r="V86" s="8"/>
      <c r="W86" s="8"/>
      <c r="X86" s="8"/>
      <c r="Y86" s="8"/>
      <c r="Z86" s="8"/>
      <c r="AA86" s="8"/>
      <c r="AB86" s="8"/>
      <c r="AC86" s="314" t="str">
        <f t="shared" si="25"/>
        <v>yes</v>
      </c>
      <c r="AD86" s="314">
        <f>COUNTA(first:Last!R86)</f>
        <v>3</v>
      </c>
      <c r="AE86" s="157">
        <f>SUM(first:Last!Z86)</f>
        <v>0</v>
      </c>
      <c r="AF86" s="157" t="str">
        <f t="shared" si="26"/>
        <v>yes</v>
      </c>
      <c r="AG86" s="157">
        <f>COUNTA(Last:end!M86)</f>
        <v>4</v>
      </c>
      <c r="AH86" s="520">
        <f>COUNTA(Last:end!M86)/6</f>
        <v>0.66666666666666663</v>
      </c>
      <c r="AI86" s="157">
        <f>SUM(Last:end!O86)</f>
        <v>0</v>
      </c>
      <c r="AJ86" s="157">
        <f>MIN(Last:end!L86)</f>
        <v>2023</v>
      </c>
      <c r="AK86" s="157" t="e">
        <f>IF(AND(AJ86&lt;=2023,#REF!="high interest / inadequate offer "),"yes","no")</f>
        <v>#REF!</v>
      </c>
      <c r="AL86" s="157" t="str">
        <f t="shared" si="22"/>
        <v>yes</v>
      </c>
      <c r="AM86" s="157"/>
      <c r="AN86" s="157"/>
      <c r="AO86" s="157"/>
      <c r="AP86" s="157">
        <v>1</v>
      </c>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row>
    <row r="87" spans="1:209" s="26" customFormat="1" ht="62.25" customHeight="1">
      <c r="A87" s="8" t="s">
        <v>53</v>
      </c>
      <c r="B87" s="29" t="s">
        <v>274</v>
      </c>
      <c r="C87" s="8" t="s">
        <v>298</v>
      </c>
      <c r="D87" s="8" t="s">
        <v>316</v>
      </c>
      <c r="E87" s="8" t="s">
        <v>317</v>
      </c>
      <c r="F87" s="8"/>
      <c r="G87" s="8" t="s">
        <v>62</v>
      </c>
      <c r="H87" s="8" t="s">
        <v>318</v>
      </c>
      <c r="I87" s="9">
        <v>1</v>
      </c>
      <c r="J87" s="9"/>
      <c r="K87" s="9"/>
      <c r="L87" s="9"/>
      <c r="M87" s="9"/>
      <c r="N87" s="9"/>
      <c r="O87" s="9"/>
      <c r="P87" s="8"/>
      <c r="Q87" s="520"/>
      <c r="R87" s="9"/>
      <c r="S87" s="9"/>
      <c r="T87" s="9"/>
      <c r="U87" s="9"/>
      <c r="V87" s="9"/>
      <c r="W87" s="9"/>
      <c r="X87" s="9"/>
      <c r="Y87" s="9"/>
      <c r="Z87" s="9"/>
      <c r="AA87" s="8"/>
      <c r="AB87" s="8"/>
      <c r="AC87" s="314" t="str">
        <f t="shared" si="25"/>
        <v>yes</v>
      </c>
      <c r="AD87" s="314">
        <f>COUNTA(first:Last!R87)</f>
        <v>1</v>
      </c>
      <c r="AE87" s="157">
        <f>SUM(first:Last!Z87)</f>
        <v>0</v>
      </c>
      <c r="AF87" s="157" t="str">
        <f t="shared" si="26"/>
        <v>yes</v>
      </c>
      <c r="AG87" s="157">
        <f>COUNTA(Last:end!M87)</f>
        <v>1</v>
      </c>
      <c r="AH87" s="520">
        <f>COUNTA(Last:end!M87)/6</f>
        <v>0.16666666666666666</v>
      </c>
      <c r="AI87" s="157">
        <f>SUM(Last:end!O87)</f>
        <v>0</v>
      </c>
      <c r="AJ87" s="157">
        <f>MIN(Last:end!L87)</f>
        <v>0</v>
      </c>
      <c r="AK87" s="157" t="e">
        <f>IF(AND(AJ87&lt;=2023,#REF!="high interest / inadequate offer "),"yes","no")</f>
        <v>#REF!</v>
      </c>
      <c r="AL87" s="157" t="str">
        <f t="shared" si="22"/>
        <v>no</v>
      </c>
      <c r="AM87" s="157"/>
      <c r="AN87" s="157"/>
      <c r="AO87" s="157"/>
      <c r="AP87" s="157">
        <v>1</v>
      </c>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row>
    <row r="88" spans="1:209" s="26" customFormat="1" ht="62.25" customHeight="1">
      <c r="A88" s="8" t="s">
        <v>53</v>
      </c>
      <c r="B88" s="29" t="s">
        <v>274</v>
      </c>
      <c r="C88" s="8" t="s">
        <v>319</v>
      </c>
      <c r="D88" s="8" t="s">
        <v>320</v>
      </c>
      <c r="E88" s="8" t="s">
        <v>321</v>
      </c>
      <c r="F88" s="8"/>
      <c r="G88" s="20" t="s">
        <v>62</v>
      </c>
      <c r="H88" s="20"/>
      <c r="I88" s="20"/>
      <c r="J88" s="20"/>
      <c r="K88" s="20"/>
      <c r="L88" s="20"/>
      <c r="M88" s="20"/>
      <c r="N88" s="20"/>
      <c r="O88" s="20"/>
      <c r="P88" s="20"/>
      <c r="Q88" s="157"/>
      <c r="R88" s="20"/>
      <c r="S88" s="20"/>
      <c r="T88" s="20"/>
      <c r="U88" s="20"/>
      <c r="V88" s="20"/>
      <c r="W88" s="20"/>
      <c r="X88" s="20"/>
      <c r="Y88" s="20"/>
      <c r="Z88" s="20"/>
      <c r="AA88" s="20"/>
      <c r="AB88" s="20"/>
      <c r="AC88" s="65"/>
      <c r="AD88" s="65"/>
      <c r="AE88" s="65"/>
      <c r="AF88" s="65"/>
      <c r="AG88" s="20">
        <f>COUNTA(Last:end!M88)</f>
        <v>0</v>
      </c>
      <c r="AH88" s="22">
        <f>COUNTA(Last:end!M88)/6</f>
        <v>0</v>
      </c>
      <c r="AI88" s="65"/>
      <c r="AJ88" s="20">
        <f>MIN(Last:end!L88)</f>
        <v>0</v>
      </c>
      <c r="AK88" s="20" t="e">
        <f>IF(AND(AJ88&lt;=2023,#REF!="high interest / inadequate offer "),"yes","no")</f>
        <v>#REF!</v>
      </c>
      <c r="AL88" s="20" t="str">
        <f t="shared" si="22"/>
        <v>no</v>
      </c>
      <c r="AM88" s="157"/>
      <c r="AN88" s="157"/>
      <c r="AO88" s="157"/>
      <c r="AP88" s="157">
        <v>0</v>
      </c>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row>
    <row r="89" spans="1:209" s="26" customFormat="1" ht="62.25" customHeight="1">
      <c r="A89" s="8" t="s">
        <v>53</v>
      </c>
      <c r="B89" s="29" t="s">
        <v>274</v>
      </c>
      <c r="C89" s="8" t="s">
        <v>319</v>
      </c>
      <c r="D89" s="8" t="s">
        <v>322</v>
      </c>
      <c r="E89" s="69" t="s">
        <v>323</v>
      </c>
      <c r="F89" s="8"/>
      <c r="G89" s="8" t="s">
        <v>62</v>
      </c>
      <c r="H89" s="8" t="s">
        <v>324</v>
      </c>
      <c r="I89" s="8" t="s">
        <v>325</v>
      </c>
      <c r="J89" s="8"/>
      <c r="K89" s="8"/>
      <c r="L89" s="8"/>
      <c r="M89" s="8"/>
      <c r="N89" s="8"/>
      <c r="O89" s="8"/>
      <c r="P89" s="8"/>
      <c r="Q89" s="157"/>
      <c r="R89" s="8"/>
      <c r="S89" s="8"/>
      <c r="T89" s="8"/>
      <c r="U89" s="8"/>
      <c r="V89" s="8"/>
      <c r="W89" s="8"/>
      <c r="X89" s="8"/>
      <c r="Y89" s="8"/>
      <c r="Z89" s="8"/>
      <c r="AA89" s="8"/>
      <c r="AB89" s="8"/>
      <c r="AC89" s="314" t="str">
        <f t="shared" ref="AC89:AC93" si="27">IF(AD89&gt;0,"yes", "no")</f>
        <v>no</v>
      </c>
      <c r="AD89" s="314">
        <f>COUNTA(first:Last!R89)</f>
        <v>0</v>
      </c>
      <c r="AE89" s="157">
        <f>SUM(first:Last!Z89)</f>
        <v>0</v>
      </c>
      <c r="AF89" s="157" t="str">
        <f t="shared" ref="AF89:AF93" si="28">IF(AH89&gt;0,"yes", "no")</f>
        <v>yes</v>
      </c>
      <c r="AG89" s="157">
        <f>COUNTA(Last:end!M89)</f>
        <v>3</v>
      </c>
      <c r="AH89" s="520">
        <f>COUNTA(Last:end!M89)/6</f>
        <v>0.5</v>
      </c>
      <c r="AI89" s="157">
        <f>SUM(Last:end!O89)</f>
        <v>0</v>
      </c>
      <c r="AJ89" s="157">
        <f>MIN(Last:end!L89)</f>
        <v>2024</v>
      </c>
      <c r="AK89" s="157" t="e">
        <f>IF(AND(AJ89&lt;=2023,#REF!="high interest / inadequate offer "),"yes","no")</f>
        <v>#REF!</v>
      </c>
      <c r="AL89" s="157" t="str">
        <f t="shared" si="22"/>
        <v>no</v>
      </c>
      <c r="AM89" s="157"/>
      <c r="AN89" s="157"/>
      <c r="AO89" s="157"/>
      <c r="AP89" s="157">
        <v>1</v>
      </c>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row>
    <row r="90" spans="1:209" s="26" customFormat="1" ht="62.25" customHeight="1">
      <c r="A90" s="8" t="s">
        <v>53</v>
      </c>
      <c r="B90" s="29" t="s">
        <v>274</v>
      </c>
      <c r="C90" s="8" t="s">
        <v>319</v>
      </c>
      <c r="D90" s="8" t="s">
        <v>326</v>
      </c>
      <c r="E90" s="69" t="s">
        <v>327</v>
      </c>
      <c r="F90" s="8"/>
      <c r="G90" s="8" t="s">
        <v>62</v>
      </c>
      <c r="H90" s="8" t="s">
        <v>328</v>
      </c>
      <c r="I90" s="9">
        <v>1</v>
      </c>
      <c r="J90" s="8"/>
      <c r="K90" s="8"/>
      <c r="L90" s="8"/>
      <c r="M90" s="8"/>
      <c r="N90" s="8"/>
      <c r="O90" s="8"/>
      <c r="P90" s="8"/>
      <c r="Q90" s="157"/>
      <c r="R90" s="8"/>
      <c r="S90" s="8"/>
      <c r="T90" s="8"/>
      <c r="U90" s="8"/>
      <c r="V90" s="8"/>
      <c r="W90" s="8"/>
      <c r="X90" s="8"/>
      <c r="Y90" s="8"/>
      <c r="Z90" s="8"/>
      <c r="AA90" s="8"/>
      <c r="AB90" s="8"/>
      <c r="AC90" s="314" t="str">
        <f t="shared" si="27"/>
        <v>yes</v>
      </c>
      <c r="AD90" s="314">
        <f>COUNTA(first:Last!R90)</f>
        <v>1</v>
      </c>
      <c r="AE90" s="157">
        <f>SUM(first:Last!Z90)</f>
        <v>0</v>
      </c>
      <c r="AF90" s="157" t="str">
        <f t="shared" si="28"/>
        <v>yes</v>
      </c>
      <c r="AG90" s="157">
        <f>COUNTA(Last:end!M90)</f>
        <v>2</v>
      </c>
      <c r="AH90" s="520">
        <f>COUNTA(Last:end!M90)/6</f>
        <v>0.33333333333333331</v>
      </c>
      <c r="AI90" s="157">
        <f>SUM(Last:end!O90)</f>
        <v>0</v>
      </c>
      <c r="AJ90" s="157">
        <f>MIN(Last:end!L90)</f>
        <v>0</v>
      </c>
      <c r="AK90" s="157" t="e">
        <f>IF(AND(AJ90&lt;=2023,#REF!="high interest / inadequate offer "),"yes","no")</f>
        <v>#REF!</v>
      </c>
      <c r="AL90" s="157" t="str">
        <f t="shared" si="22"/>
        <v>no</v>
      </c>
      <c r="AM90" s="157"/>
      <c r="AN90" s="157"/>
      <c r="AO90" s="157"/>
      <c r="AP90" s="157">
        <v>1</v>
      </c>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row>
    <row r="91" spans="1:209" s="26" customFormat="1" ht="62.25" customHeight="1">
      <c r="A91" s="8" t="s">
        <v>53</v>
      </c>
      <c r="B91" s="29" t="s">
        <v>274</v>
      </c>
      <c r="C91" s="8" t="s">
        <v>319</v>
      </c>
      <c r="D91" s="8" t="s">
        <v>329</v>
      </c>
      <c r="E91" s="8" t="s">
        <v>330</v>
      </c>
      <c r="F91" s="8"/>
      <c r="G91" s="8" t="s">
        <v>62</v>
      </c>
      <c r="H91" s="8" t="s">
        <v>182</v>
      </c>
      <c r="I91" s="9">
        <v>1</v>
      </c>
      <c r="J91" s="9"/>
      <c r="K91" s="9"/>
      <c r="L91" s="9"/>
      <c r="M91" s="9"/>
      <c r="N91" s="9"/>
      <c r="O91" s="9"/>
      <c r="P91" s="8"/>
      <c r="Q91" s="520"/>
      <c r="R91" s="9"/>
      <c r="S91" s="9"/>
      <c r="T91" s="9"/>
      <c r="U91" s="9"/>
      <c r="V91" s="9"/>
      <c r="W91" s="9"/>
      <c r="X91" s="9"/>
      <c r="Y91" s="9"/>
      <c r="Z91" s="9"/>
      <c r="AA91" s="8"/>
      <c r="AB91" s="8"/>
      <c r="AC91" s="314" t="str">
        <f t="shared" si="27"/>
        <v>yes</v>
      </c>
      <c r="AD91" s="314">
        <f>COUNTA(first:Last!R91)</f>
        <v>1</v>
      </c>
      <c r="AE91" s="157">
        <f>SUM(first:Last!Z91)</f>
        <v>0</v>
      </c>
      <c r="AF91" s="157" t="str">
        <f t="shared" si="28"/>
        <v>yes</v>
      </c>
      <c r="AG91" s="157">
        <f>COUNTA(Last:end!M91)</f>
        <v>2</v>
      </c>
      <c r="AH91" s="520">
        <f>COUNTA(Last:end!M91)/6</f>
        <v>0.33333333333333331</v>
      </c>
      <c r="AI91" s="157">
        <f>SUM(Last:end!O91)</f>
        <v>0</v>
      </c>
      <c r="AJ91" s="157">
        <f>MIN(Last:end!L91)</f>
        <v>0</v>
      </c>
      <c r="AK91" s="157" t="e">
        <f>IF(AND(AJ91&lt;=2023,#REF!="high interest / inadequate offer "),"yes","no")</f>
        <v>#REF!</v>
      </c>
      <c r="AL91" s="157" t="str">
        <f t="shared" si="22"/>
        <v>no</v>
      </c>
      <c r="AM91" s="157"/>
      <c r="AN91" s="157"/>
      <c r="AO91" s="157"/>
      <c r="AP91" s="157">
        <v>1</v>
      </c>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row>
    <row r="92" spans="1:209" s="26" customFormat="1" ht="62.25" customHeight="1">
      <c r="A92" s="8" t="s">
        <v>53</v>
      </c>
      <c r="B92" s="29" t="s">
        <v>274</v>
      </c>
      <c r="C92" s="8" t="s">
        <v>319</v>
      </c>
      <c r="D92" s="8" t="s">
        <v>331</v>
      </c>
      <c r="E92" s="8" t="s">
        <v>332</v>
      </c>
      <c r="F92" s="8"/>
      <c r="G92" s="8" t="s">
        <v>62</v>
      </c>
      <c r="H92" s="8" t="s">
        <v>182</v>
      </c>
      <c r="I92" s="9">
        <v>1</v>
      </c>
      <c r="J92" s="9"/>
      <c r="K92" s="9"/>
      <c r="L92" s="9"/>
      <c r="M92" s="9"/>
      <c r="N92" s="9"/>
      <c r="O92" s="9"/>
      <c r="P92" s="8"/>
      <c r="Q92" s="520"/>
      <c r="R92" s="9"/>
      <c r="S92" s="9"/>
      <c r="T92" s="9"/>
      <c r="U92" s="9"/>
      <c r="V92" s="9"/>
      <c r="W92" s="9"/>
      <c r="X92" s="9"/>
      <c r="Y92" s="9"/>
      <c r="Z92" s="9"/>
      <c r="AA92" s="8"/>
      <c r="AB92" s="8"/>
      <c r="AC92" s="314" t="str">
        <f t="shared" si="27"/>
        <v>yes</v>
      </c>
      <c r="AD92" s="314">
        <f>COUNTA(first:Last!R92)</f>
        <v>1</v>
      </c>
      <c r="AE92" s="157">
        <f>SUM(first:Last!Z92)</f>
        <v>0</v>
      </c>
      <c r="AF92" s="157" t="str">
        <f t="shared" si="28"/>
        <v>yes</v>
      </c>
      <c r="AG92" s="157">
        <f>COUNTA(Last:end!M92)</f>
        <v>1</v>
      </c>
      <c r="AH92" s="520">
        <f>COUNTA(Last:end!M92)/6</f>
        <v>0.16666666666666666</v>
      </c>
      <c r="AI92" s="157">
        <f>SUM(Last:end!O92)</f>
        <v>0</v>
      </c>
      <c r="AJ92" s="157">
        <f>MIN(Last:end!L92)</f>
        <v>0</v>
      </c>
      <c r="AK92" s="157" t="e">
        <f>IF(AND(AJ92&lt;=2023,#REF!="high interest / inadequate offer "),"yes","no")</f>
        <v>#REF!</v>
      </c>
      <c r="AL92" s="157" t="str">
        <f t="shared" si="22"/>
        <v>no</v>
      </c>
      <c r="AM92" s="157"/>
      <c r="AN92" s="157"/>
      <c r="AO92" s="157"/>
      <c r="AP92" s="157">
        <v>1</v>
      </c>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row>
    <row r="93" spans="1:209" s="26" customFormat="1" ht="62.25" customHeight="1">
      <c r="A93" s="8" t="s">
        <v>53</v>
      </c>
      <c r="B93" s="29" t="s">
        <v>274</v>
      </c>
      <c r="C93" s="8" t="s">
        <v>319</v>
      </c>
      <c r="D93" s="8" t="s">
        <v>333</v>
      </c>
      <c r="E93" s="8" t="s">
        <v>334</v>
      </c>
      <c r="F93" s="8"/>
      <c r="G93" s="8" t="s">
        <v>62</v>
      </c>
      <c r="H93" s="8" t="s">
        <v>335</v>
      </c>
      <c r="I93" s="9">
        <v>1</v>
      </c>
      <c r="J93" s="9"/>
      <c r="K93" s="9"/>
      <c r="L93" s="9"/>
      <c r="M93" s="9"/>
      <c r="N93" s="9"/>
      <c r="O93" s="9"/>
      <c r="P93" s="8"/>
      <c r="Q93" s="520"/>
      <c r="R93" s="9"/>
      <c r="S93" s="9"/>
      <c r="T93" s="9"/>
      <c r="U93" s="9"/>
      <c r="V93" s="9"/>
      <c r="W93" s="9"/>
      <c r="X93" s="9"/>
      <c r="Y93" s="9"/>
      <c r="Z93" s="9"/>
      <c r="AA93" s="8"/>
      <c r="AB93" s="8"/>
      <c r="AC93" s="314" t="str">
        <f t="shared" si="27"/>
        <v>yes</v>
      </c>
      <c r="AD93" s="314">
        <f>COUNTA(first:Last!R93)</f>
        <v>1</v>
      </c>
      <c r="AE93" s="157">
        <f>SUM(first:Last!Z93)</f>
        <v>6000</v>
      </c>
      <c r="AF93" s="157" t="str">
        <f t="shared" si="28"/>
        <v>yes</v>
      </c>
      <c r="AG93" s="157">
        <f>COUNTA(Last:end!M93)</f>
        <v>2</v>
      </c>
      <c r="AH93" s="520">
        <f>COUNTA(Last:end!M93)/6</f>
        <v>0.33333333333333331</v>
      </c>
      <c r="AI93" s="157">
        <f>SUM(Last:end!O93)</f>
        <v>0</v>
      </c>
      <c r="AJ93" s="157">
        <f>MIN(Last:end!L93)</f>
        <v>0</v>
      </c>
      <c r="AK93" s="157" t="e">
        <f>IF(AND(AJ93&lt;=2023,#REF!="high interest / inadequate offer "),"yes","no")</f>
        <v>#REF!</v>
      </c>
      <c r="AL93" s="157" t="str">
        <f t="shared" si="22"/>
        <v>no</v>
      </c>
      <c r="AM93" s="157"/>
      <c r="AN93" s="157"/>
      <c r="AO93" s="157"/>
      <c r="AP93" s="157">
        <v>1</v>
      </c>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row>
    <row r="94" spans="1:209" s="26" customFormat="1" ht="110.25">
      <c r="A94" s="8" t="s">
        <v>53</v>
      </c>
      <c r="B94" s="29" t="s">
        <v>336</v>
      </c>
      <c r="C94" s="8" t="s">
        <v>337</v>
      </c>
      <c r="D94" s="8" t="s">
        <v>338</v>
      </c>
      <c r="E94" s="8" t="s">
        <v>339</v>
      </c>
      <c r="F94" s="8"/>
      <c r="G94" s="20" t="s">
        <v>71</v>
      </c>
      <c r="H94" s="20"/>
      <c r="I94" s="20"/>
      <c r="J94" s="20"/>
      <c r="K94" s="20"/>
      <c r="L94" s="20"/>
      <c r="M94" s="20"/>
      <c r="N94" s="20"/>
      <c r="O94" s="20"/>
      <c r="P94" s="20"/>
      <c r="Q94" s="157"/>
      <c r="R94" s="20"/>
      <c r="S94" s="20"/>
      <c r="T94" s="20"/>
      <c r="U94" s="20"/>
      <c r="V94" s="20"/>
      <c r="W94" s="20"/>
      <c r="X94" s="20"/>
      <c r="Y94" s="20"/>
      <c r="Z94" s="20"/>
      <c r="AA94" s="20"/>
      <c r="AB94" s="20"/>
      <c r="AC94" s="157"/>
      <c r="AD94" s="157">
        <f>COUNTA(first:Last!R94)</f>
        <v>0</v>
      </c>
      <c r="AE94" s="157">
        <f>SUM(first:Last!Z94)</f>
        <v>0</v>
      </c>
      <c r="AF94" s="157" t="str">
        <f t="shared" ref="AF94:AF97" si="29">IF(AH94&gt;0,"yes", "no")</f>
        <v>no</v>
      </c>
      <c r="AG94" s="157">
        <f>COUNTA(Last:end!M94)</f>
        <v>0</v>
      </c>
      <c r="AH94" s="520">
        <f>COUNTA(Last:end!M94)/6</f>
        <v>0</v>
      </c>
      <c r="AI94" s="157">
        <f>SUM(Last:end!O94)</f>
        <v>0</v>
      </c>
      <c r="AJ94" s="157">
        <f>MIN(Last:end!L94)</f>
        <v>0</v>
      </c>
      <c r="AK94" s="157" t="e">
        <f>IF(AND(AJ94&lt;=2023,#REF!="high interest / inadequate offer "),"yes","no")</f>
        <v>#REF!</v>
      </c>
      <c r="AL94" s="157" t="str">
        <f t="shared" si="22"/>
        <v>no</v>
      </c>
      <c r="AM94" s="157"/>
      <c r="AN94" s="157"/>
      <c r="AO94" s="157"/>
      <c r="AP94" s="157">
        <v>0</v>
      </c>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row>
    <row r="95" spans="1:209" s="26" customFormat="1" ht="62.25" customHeight="1">
      <c r="A95" s="8" t="s">
        <v>53</v>
      </c>
      <c r="B95" s="29" t="s">
        <v>336</v>
      </c>
      <c r="C95" s="8" t="s">
        <v>337</v>
      </c>
      <c r="D95" s="8" t="s">
        <v>340</v>
      </c>
      <c r="E95" s="69" t="s">
        <v>341</v>
      </c>
      <c r="F95" s="8"/>
      <c r="G95" s="8" t="s">
        <v>62</v>
      </c>
      <c r="H95" s="8" t="s">
        <v>342</v>
      </c>
      <c r="I95" s="8" t="s">
        <v>343</v>
      </c>
      <c r="J95" s="8"/>
      <c r="K95" s="8"/>
      <c r="L95" s="8"/>
      <c r="M95" s="8"/>
      <c r="N95" s="8"/>
      <c r="O95" s="8"/>
      <c r="P95" s="8"/>
      <c r="Q95" s="157"/>
      <c r="R95" s="8"/>
      <c r="S95" s="8"/>
      <c r="T95" s="8"/>
      <c r="U95" s="8"/>
      <c r="V95" s="8"/>
      <c r="W95" s="8"/>
      <c r="X95" s="8"/>
      <c r="Y95" s="8"/>
      <c r="Z95" s="8"/>
      <c r="AA95" s="8"/>
      <c r="AB95" s="8"/>
      <c r="AC95" s="314" t="str">
        <f t="shared" ref="AC95:AC97" si="30">IF(AD95&gt;0,"yes", "no")</f>
        <v>yes</v>
      </c>
      <c r="AD95" s="314">
        <f>COUNTA(first:Last!R95)</f>
        <v>4</v>
      </c>
      <c r="AE95" s="157">
        <f>SUM(first:Last!Z95)</f>
        <v>5000</v>
      </c>
      <c r="AF95" s="157" t="str">
        <f t="shared" si="29"/>
        <v>yes</v>
      </c>
      <c r="AG95" s="157">
        <f>COUNTA(Last:end!M95)</f>
        <v>3</v>
      </c>
      <c r="AH95" s="520">
        <f>COUNTA(Last:end!M95)/6</f>
        <v>0.5</v>
      </c>
      <c r="AI95" s="157">
        <f>SUM(Last:end!O95)</f>
        <v>0</v>
      </c>
      <c r="AJ95" s="157">
        <f>MIN(Last:end!L95)</f>
        <v>2022</v>
      </c>
      <c r="AK95" s="157" t="e">
        <f>IF(AND(AJ95&lt;=2023,#REF!="high interest / inadequate offer "),"yes","no")</f>
        <v>#REF!</v>
      </c>
      <c r="AL95" s="157" t="str">
        <f t="shared" si="22"/>
        <v>yes</v>
      </c>
      <c r="AM95" s="157"/>
      <c r="AN95" s="157"/>
      <c r="AO95" s="157"/>
      <c r="AP95" s="157">
        <v>1</v>
      </c>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row>
    <row r="96" spans="1:209" s="26" customFormat="1" ht="62.25" customHeight="1">
      <c r="A96" s="8" t="s">
        <v>53</v>
      </c>
      <c r="B96" s="29" t="s">
        <v>336</v>
      </c>
      <c r="C96" s="8" t="s">
        <v>337</v>
      </c>
      <c r="D96" s="8" t="s">
        <v>344</v>
      </c>
      <c r="E96" s="69" t="s">
        <v>345</v>
      </c>
      <c r="F96" s="8"/>
      <c r="G96" s="8" t="s">
        <v>62</v>
      </c>
      <c r="H96" s="8" t="s">
        <v>346</v>
      </c>
      <c r="I96" s="8" t="s">
        <v>343</v>
      </c>
      <c r="J96" s="8"/>
      <c r="K96" s="8"/>
      <c r="L96" s="8"/>
      <c r="M96" s="8"/>
      <c r="N96" s="8"/>
      <c r="O96" s="8"/>
      <c r="P96" s="8"/>
      <c r="Q96" s="157"/>
      <c r="R96" s="8"/>
      <c r="S96" s="8"/>
      <c r="T96" s="8"/>
      <c r="U96" s="8"/>
      <c r="V96" s="8"/>
      <c r="W96" s="8"/>
      <c r="X96" s="8"/>
      <c r="Y96" s="8"/>
      <c r="Z96" s="8"/>
      <c r="AA96" s="8"/>
      <c r="AB96" s="8"/>
      <c r="AC96" s="314" t="str">
        <f t="shared" si="30"/>
        <v>yes</v>
      </c>
      <c r="AD96" s="314">
        <f>COUNTA(first:Last!R96)</f>
        <v>1</v>
      </c>
      <c r="AE96" s="157">
        <f>SUM(first:Last!Z96)</f>
        <v>0</v>
      </c>
      <c r="AF96" s="157" t="str">
        <f t="shared" si="29"/>
        <v>yes</v>
      </c>
      <c r="AG96" s="157">
        <f>COUNTA(Last:end!M96)</f>
        <v>3</v>
      </c>
      <c r="AH96" s="520">
        <f>COUNTA(Last:end!M96)/6</f>
        <v>0.5</v>
      </c>
      <c r="AI96" s="157">
        <f>SUM(Last:end!O96)</f>
        <v>0</v>
      </c>
      <c r="AJ96" s="157">
        <f>MIN(Last:end!L96)</f>
        <v>2022</v>
      </c>
      <c r="AK96" s="157" t="e">
        <f>IF(AND(AJ96&lt;=2023,#REF!="high interest / inadequate offer "),"yes","no")</f>
        <v>#REF!</v>
      </c>
      <c r="AL96" s="157" t="str">
        <f t="shared" si="22"/>
        <v>no</v>
      </c>
      <c r="AM96" s="157"/>
      <c r="AN96" s="157"/>
      <c r="AO96" s="157"/>
      <c r="AP96" s="157">
        <v>1</v>
      </c>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row>
    <row r="97" spans="1:209" s="26" customFormat="1" ht="62.25" customHeight="1">
      <c r="A97" s="8" t="s">
        <v>53</v>
      </c>
      <c r="B97" s="29" t="s">
        <v>336</v>
      </c>
      <c r="C97" s="8" t="s">
        <v>337</v>
      </c>
      <c r="D97" s="8" t="s">
        <v>347</v>
      </c>
      <c r="E97" s="8" t="s">
        <v>348</v>
      </c>
      <c r="F97" s="8"/>
      <c r="G97" s="8" t="s">
        <v>62</v>
      </c>
      <c r="H97" s="8" t="s">
        <v>349</v>
      </c>
      <c r="I97" s="8" t="s">
        <v>110</v>
      </c>
      <c r="J97" s="8"/>
      <c r="K97" s="8"/>
      <c r="L97" s="8"/>
      <c r="M97" s="8"/>
      <c r="N97" s="8"/>
      <c r="O97" s="8"/>
      <c r="P97" s="8"/>
      <c r="Q97" s="157"/>
      <c r="R97" s="8"/>
      <c r="S97" s="8"/>
      <c r="T97" s="8"/>
      <c r="U97" s="8"/>
      <c r="V97" s="8"/>
      <c r="W97" s="8"/>
      <c r="X97" s="8"/>
      <c r="Y97" s="8"/>
      <c r="Z97" s="8"/>
      <c r="AA97" s="8"/>
      <c r="AB97" s="8"/>
      <c r="AC97" s="314" t="str">
        <f t="shared" si="30"/>
        <v>no</v>
      </c>
      <c r="AD97" s="314">
        <f>COUNTA(first:Last!R97)</f>
        <v>0</v>
      </c>
      <c r="AE97" s="157">
        <f>SUM(first:Last!Z97)</f>
        <v>0</v>
      </c>
      <c r="AF97" s="157" t="str">
        <f t="shared" si="29"/>
        <v>yes</v>
      </c>
      <c r="AG97" s="157">
        <f>COUNTA(Last:end!M97)</f>
        <v>2</v>
      </c>
      <c r="AH97" s="520">
        <f>COUNTA(Last:end!M97)/6</f>
        <v>0.33333333333333331</v>
      </c>
      <c r="AI97" s="157">
        <f>SUM(Last:end!O97)</f>
        <v>2000</v>
      </c>
      <c r="AJ97" s="157">
        <f>MIN(Last:end!L97)</f>
        <v>2022</v>
      </c>
      <c r="AK97" s="157" t="e">
        <f>IF(AND(AJ97&lt;=2023,#REF!="high interest / inadequate offer "),"yes","no")</f>
        <v>#REF!</v>
      </c>
      <c r="AL97" s="157" t="str">
        <f t="shared" si="22"/>
        <v>no</v>
      </c>
      <c r="AM97" s="157"/>
      <c r="AN97" s="157"/>
      <c r="AO97" s="157"/>
      <c r="AP97" s="157">
        <v>1</v>
      </c>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row>
    <row r="98" spans="1:209" s="26" customFormat="1" ht="62.25" customHeight="1">
      <c r="A98" s="8" t="s">
        <v>53</v>
      </c>
      <c r="B98" s="29" t="s">
        <v>336</v>
      </c>
      <c r="C98" s="8" t="s">
        <v>337</v>
      </c>
      <c r="D98" s="8" t="s">
        <v>350</v>
      </c>
      <c r="E98" s="8" t="s">
        <v>351</v>
      </c>
      <c r="F98" s="8"/>
      <c r="G98" s="20" t="s">
        <v>58</v>
      </c>
      <c r="H98" s="20" t="s">
        <v>352</v>
      </c>
      <c r="I98" s="22">
        <v>1</v>
      </c>
      <c r="J98" s="20"/>
      <c r="K98" s="20"/>
      <c r="L98" s="20"/>
      <c r="M98" s="20"/>
      <c r="N98" s="20"/>
      <c r="O98" s="20"/>
      <c r="P98" s="20"/>
      <c r="Q98" s="157"/>
      <c r="R98" s="20"/>
      <c r="S98" s="20"/>
      <c r="T98" s="20"/>
      <c r="U98" s="20"/>
      <c r="V98" s="20"/>
      <c r="W98" s="20"/>
      <c r="X98" s="20"/>
      <c r="Y98" s="20"/>
      <c r="Z98" s="20"/>
      <c r="AA98" s="20"/>
      <c r="AB98" s="20"/>
      <c r="AC98" s="65"/>
      <c r="AD98" s="65"/>
      <c r="AE98" s="65"/>
      <c r="AF98" s="65"/>
      <c r="AG98" s="20">
        <f>COUNTA(Last:end!M98)</f>
        <v>0</v>
      </c>
      <c r="AH98" s="22">
        <f>COUNTA(Last:end!M98)/6</f>
        <v>0</v>
      </c>
      <c r="AI98" s="65"/>
      <c r="AJ98" s="20">
        <f>MIN(Last:end!L98)</f>
        <v>0</v>
      </c>
      <c r="AK98" s="20" t="e">
        <f>IF(AND(AJ98&lt;=2023,#REF!="high interest / inadequate offer "),"yes","no")</f>
        <v>#REF!</v>
      </c>
      <c r="AL98" s="20" t="str">
        <f t="shared" si="22"/>
        <v>no</v>
      </c>
      <c r="AM98" s="157"/>
      <c r="AN98" s="157"/>
      <c r="AO98" s="157"/>
      <c r="AP98" s="157">
        <v>0</v>
      </c>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row>
    <row r="99" spans="1:209" s="26" customFormat="1" ht="62.25" customHeight="1">
      <c r="A99" s="8" t="s">
        <v>53</v>
      </c>
      <c r="B99" s="29" t="s">
        <v>336</v>
      </c>
      <c r="C99" s="8" t="s">
        <v>337</v>
      </c>
      <c r="D99" s="8" t="s">
        <v>353</v>
      </c>
      <c r="E99" s="69" t="s">
        <v>354</v>
      </c>
      <c r="F99" s="8"/>
      <c r="G99" s="8" t="s">
        <v>58</v>
      </c>
      <c r="H99" s="8" t="s">
        <v>352</v>
      </c>
      <c r="I99" s="9">
        <v>1</v>
      </c>
      <c r="J99" s="9"/>
      <c r="K99" s="9"/>
      <c r="L99" s="9"/>
      <c r="M99" s="9"/>
      <c r="N99" s="9"/>
      <c r="O99" s="9"/>
      <c r="P99" s="8"/>
      <c r="Q99" s="520"/>
      <c r="R99" s="9"/>
      <c r="S99" s="9"/>
      <c r="T99" s="9"/>
      <c r="U99" s="9"/>
      <c r="V99" s="9"/>
      <c r="W99" s="9"/>
      <c r="X99" s="9"/>
      <c r="Y99" s="9"/>
      <c r="Z99" s="9"/>
      <c r="AA99" s="8"/>
      <c r="AB99" s="8"/>
      <c r="AC99" s="314" t="str">
        <f t="shared" ref="AC99:AC130" si="31">IF(AD99&gt;0,"yes", "no")</f>
        <v>no</v>
      </c>
      <c r="AD99" s="314">
        <f>COUNTA(first:Last!R99)</f>
        <v>0</v>
      </c>
      <c r="AE99" s="157">
        <f>SUM(first:Last!Z99)</f>
        <v>0</v>
      </c>
      <c r="AF99" s="157" t="str">
        <f t="shared" ref="AF99:AF130" si="32">IF(AH99&gt;0,"yes", "no")</f>
        <v>yes</v>
      </c>
      <c r="AG99" s="157">
        <f>COUNTA(Last:end!M99)</f>
        <v>1</v>
      </c>
      <c r="AH99" s="520">
        <f>COUNTA(Last:end!M99)/6</f>
        <v>0.16666666666666666</v>
      </c>
      <c r="AI99" s="157">
        <f>SUM(Last:end!O99)</f>
        <v>0</v>
      </c>
      <c r="AJ99" s="157">
        <f>MIN(Last:end!L99)</f>
        <v>0</v>
      </c>
      <c r="AK99" s="157" t="e">
        <f>IF(AND(AJ99&lt;=2023,#REF!="high interest / inadequate offer "),"yes","no")</f>
        <v>#REF!</v>
      </c>
      <c r="AL99" s="157" t="str">
        <f t="shared" si="22"/>
        <v>no</v>
      </c>
      <c r="AM99" s="157"/>
      <c r="AN99" s="157"/>
      <c r="AO99" s="157"/>
      <c r="AP99" s="157">
        <v>1</v>
      </c>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row>
    <row r="100" spans="1:209" s="26" customFormat="1" ht="62.25" customHeight="1">
      <c r="A100" s="8" t="s">
        <v>53</v>
      </c>
      <c r="B100" s="29" t="s">
        <v>336</v>
      </c>
      <c r="C100" s="8" t="s">
        <v>337</v>
      </c>
      <c r="D100" s="8" t="s">
        <v>355</v>
      </c>
      <c r="E100" s="69" t="s">
        <v>356</v>
      </c>
      <c r="F100" s="8"/>
      <c r="G100" s="8" t="s">
        <v>58</v>
      </c>
      <c r="H100" s="8" t="s">
        <v>352</v>
      </c>
      <c r="I100" s="9">
        <v>1</v>
      </c>
      <c r="J100" s="9"/>
      <c r="K100" s="9"/>
      <c r="L100" s="9"/>
      <c r="M100" s="9"/>
      <c r="N100" s="9"/>
      <c r="O100" s="9"/>
      <c r="P100" s="8"/>
      <c r="Q100" s="520"/>
      <c r="R100" s="9"/>
      <c r="S100" s="9"/>
      <c r="T100" s="9"/>
      <c r="U100" s="9"/>
      <c r="V100" s="9"/>
      <c r="W100" s="9"/>
      <c r="X100" s="9"/>
      <c r="Y100" s="9"/>
      <c r="Z100" s="9"/>
      <c r="AA100" s="8"/>
      <c r="AB100" s="8"/>
      <c r="AC100" s="314" t="str">
        <f t="shared" si="31"/>
        <v>no</v>
      </c>
      <c r="AD100" s="314">
        <f>COUNTA(first:Last!R100)</f>
        <v>0</v>
      </c>
      <c r="AE100" s="157">
        <f>SUM(first:Last!Z100)</f>
        <v>0</v>
      </c>
      <c r="AF100" s="157" t="str">
        <f t="shared" si="32"/>
        <v>yes</v>
      </c>
      <c r="AG100" s="157">
        <f>COUNTA(Last:end!M100)</f>
        <v>2</v>
      </c>
      <c r="AH100" s="520">
        <f>COUNTA(Last:end!M100)/6</f>
        <v>0.33333333333333331</v>
      </c>
      <c r="AI100" s="157">
        <f>SUM(Last:end!O100)</f>
        <v>0</v>
      </c>
      <c r="AJ100" s="157">
        <f>MIN(Last:end!L100)</f>
        <v>2022</v>
      </c>
      <c r="AK100" s="157" t="e">
        <f>IF(AND(AJ100&lt;=2023,#REF!="high interest / inadequate offer "),"yes","no")</f>
        <v>#REF!</v>
      </c>
      <c r="AL100" s="157" t="str">
        <f t="shared" ref="AL100:AL131" si="33">IF(AD100&gt;1,"yes", "no")</f>
        <v>no</v>
      </c>
      <c r="AM100" s="157"/>
      <c r="AN100" s="157"/>
      <c r="AO100" s="157"/>
      <c r="AP100" s="157">
        <v>1</v>
      </c>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row>
    <row r="101" spans="1:209" s="26" customFormat="1" ht="62.25" customHeight="1">
      <c r="A101" s="8" t="s">
        <v>53</v>
      </c>
      <c r="B101" s="29" t="s">
        <v>336</v>
      </c>
      <c r="C101" s="8" t="s">
        <v>337</v>
      </c>
      <c r="D101" s="8" t="s">
        <v>357</v>
      </c>
      <c r="E101" s="69" t="s">
        <v>358</v>
      </c>
      <c r="F101" s="8"/>
      <c r="G101" s="8" t="s">
        <v>58</v>
      </c>
      <c r="H101" s="8" t="s">
        <v>352</v>
      </c>
      <c r="I101" s="9">
        <v>1</v>
      </c>
      <c r="J101" s="9"/>
      <c r="K101" s="9"/>
      <c r="L101" s="9"/>
      <c r="M101" s="9"/>
      <c r="N101" s="9"/>
      <c r="O101" s="9"/>
      <c r="P101" s="8"/>
      <c r="Q101" s="520"/>
      <c r="R101" s="9"/>
      <c r="S101" s="9"/>
      <c r="T101" s="9"/>
      <c r="U101" s="9"/>
      <c r="V101" s="9"/>
      <c r="W101" s="9"/>
      <c r="X101" s="9"/>
      <c r="Y101" s="9"/>
      <c r="Z101" s="9"/>
      <c r="AA101" s="8"/>
      <c r="AB101" s="8"/>
      <c r="AC101" s="314" t="str">
        <f t="shared" si="31"/>
        <v>no</v>
      </c>
      <c r="AD101" s="314">
        <f>COUNTA(first:Last!R101)</f>
        <v>0</v>
      </c>
      <c r="AE101" s="157">
        <f>SUM(first:Last!Z101)</f>
        <v>0</v>
      </c>
      <c r="AF101" s="157" t="str">
        <f t="shared" si="32"/>
        <v>yes</v>
      </c>
      <c r="AG101" s="157">
        <f>COUNTA(Last:end!M101)</f>
        <v>1</v>
      </c>
      <c r="AH101" s="520">
        <f>COUNTA(Last:end!M101)/6</f>
        <v>0.16666666666666666</v>
      </c>
      <c r="AI101" s="157">
        <f>SUM(Last:end!O101)</f>
        <v>0</v>
      </c>
      <c r="AJ101" s="157">
        <f>MIN(Last:end!L101)</f>
        <v>0</v>
      </c>
      <c r="AK101" s="157" t="e">
        <f>IF(AND(AJ101&lt;=2023,#REF!="high interest / inadequate offer "),"yes","no")</f>
        <v>#REF!</v>
      </c>
      <c r="AL101" s="157" t="str">
        <f t="shared" si="33"/>
        <v>no</v>
      </c>
      <c r="AM101" s="157"/>
      <c r="AN101" s="157"/>
      <c r="AO101" s="157"/>
      <c r="AP101" s="157">
        <v>1</v>
      </c>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row>
    <row r="102" spans="1:209" s="26" customFormat="1" ht="62.25" customHeight="1">
      <c r="A102" s="8" t="s">
        <v>53</v>
      </c>
      <c r="B102" s="29" t="s">
        <v>336</v>
      </c>
      <c r="C102" s="8" t="s">
        <v>337</v>
      </c>
      <c r="D102" s="8" t="s">
        <v>359</v>
      </c>
      <c r="E102" s="69" t="s">
        <v>360</v>
      </c>
      <c r="F102" s="8"/>
      <c r="G102" s="8" t="s">
        <v>58</v>
      </c>
      <c r="H102" s="8" t="s">
        <v>352</v>
      </c>
      <c r="I102" s="9">
        <v>1</v>
      </c>
      <c r="J102" s="9"/>
      <c r="K102" s="9"/>
      <c r="L102" s="9"/>
      <c r="M102" s="9"/>
      <c r="N102" s="9"/>
      <c r="O102" s="9"/>
      <c r="P102" s="8"/>
      <c r="Q102" s="520"/>
      <c r="R102" s="9"/>
      <c r="S102" s="9"/>
      <c r="T102" s="9"/>
      <c r="U102" s="9"/>
      <c r="V102" s="9"/>
      <c r="W102" s="9"/>
      <c r="X102" s="9"/>
      <c r="Y102" s="9"/>
      <c r="Z102" s="9"/>
      <c r="AA102" s="8"/>
      <c r="AB102" s="8"/>
      <c r="AC102" s="314" t="str">
        <f t="shared" si="31"/>
        <v>no</v>
      </c>
      <c r="AD102" s="314">
        <f>COUNTA(first:Last!R102)</f>
        <v>0</v>
      </c>
      <c r="AE102" s="157">
        <f>SUM(first:Last!Z102)</f>
        <v>0</v>
      </c>
      <c r="AF102" s="157" t="str">
        <f t="shared" si="32"/>
        <v>yes</v>
      </c>
      <c r="AG102" s="157">
        <f>COUNTA(Last:end!M102)</f>
        <v>2</v>
      </c>
      <c r="AH102" s="520">
        <f>COUNTA(Last:end!M102)/6</f>
        <v>0.33333333333333331</v>
      </c>
      <c r="AI102" s="157">
        <f>SUM(Last:end!O102)</f>
        <v>0</v>
      </c>
      <c r="AJ102" s="157">
        <f>MIN(Last:end!L102)</f>
        <v>0</v>
      </c>
      <c r="AK102" s="157" t="e">
        <f>IF(AND(AJ102&lt;=2023,#REF!="high interest / inadequate offer "),"yes","no")</f>
        <v>#REF!</v>
      </c>
      <c r="AL102" s="157" t="str">
        <f t="shared" si="33"/>
        <v>no</v>
      </c>
      <c r="AM102" s="157"/>
      <c r="AN102" s="157"/>
      <c r="AO102" s="157"/>
      <c r="AP102" s="157">
        <v>1</v>
      </c>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row>
    <row r="103" spans="1:209" s="26" customFormat="1" ht="62.25" customHeight="1">
      <c r="A103" s="8" t="s">
        <v>53</v>
      </c>
      <c r="B103" s="29" t="s">
        <v>336</v>
      </c>
      <c r="C103" s="8" t="s">
        <v>337</v>
      </c>
      <c r="D103" s="8" t="s">
        <v>361</v>
      </c>
      <c r="E103" s="69" t="s">
        <v>362</v>
      </c>
      <c r="F103" s="8"/>
      <c r="G103" s="8" t="s">
        <v>58</v>
      </c>
      <c r="H103" s="8" t="s">
        <v>352</v>
      </c>
      <c r="I103" s="9">
        <v>1</v>
      </c>
      <c r="J103" s="9"/>
      <c r="K103" s="9"/>
      <c r="L103" s="9"/>
      <c r="M103" s="9"/>
      <c r="N103" s="9"/>
      <c r="O103" s="9"/>
      <c r="P103" s="8"/>
      <c r="Q103" s="520"/>
      <c r="R103" s="9"/>
      <c r="S103" s="9"/>
      <c r="T103" s="9"/>
      <c r="U103" s="9"/>
      <c r="V103" s="9"/>
      <c r="W103" s="9"/>
      <c r="X103" s="9"/>
      <c r="Y103" s="9"/>
      <c r="Z103" s="9"/>
      <c r="AA103" s="8"/>
      <c r="AB103" s="8"/>
      <c r="AC103" s="314" t="str">
        <f t="shared" si="31"/>
        <v>no</v>
      </c>
      <c r="AD103" s="314">
        <f>COUNTA(first:Last!R103)</f>
        <v>0</v>
      </c>
      <c r="AE103" s="157">
        <f>SUM(first:Last!Z103)</f>
        <v>0</v>
      </c>
      <c r="AF103" s="157" t="str">
        <f t="shared" si="32"/>
        <v>yes</v>
      </c>
      <c r="AG103" s="157">
        <f>COUNTA(Last:end!M103)</f>
        <v>2</v>
      </c>
      <c r="AH103" s="520">
        <f>COUNTA(Last:end!M103)/6</f>
        <v>0.33333333333333331</v>
      </c>
      <c r="AI103" s="157">
        <f>SUM(Last:end!O103)</f>
        <v>0</v>
      </c>
      <c r="AJ103" s="157">
        <f>MIN(Last:end!L103)</f>
        <v>2023</v>
      </c>
      <c r="AK103" s="157" t="e">
        <f>IF(AND(AJ103&lt;=2023,#REF!="high interest / inadequate offer "),"yes","no")</f>
        <v>#REF!</v>
      </c>
      <c r="AL103" s="157" t="str">
        <f t="shared" si="33"/>
        <v>no</v>
      </c>
      <c r="AM103" s="157"/>
      <c r="AN103" s="157"/>
      <c r="AO103" s="157"/>
      <c r="AP103" s="157">
        <v>1</v>
      </c>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row>
    <row r="104" spans="1:209" s="26" customFormat="1" ht="62.25" customHeight="1">
      <c r="A104" s="8" t="s">
        <v>53</v>
      </c>
      <c r="B104" s="29" t="s">
        <v>336</v>
      </c>
      <c r="C104" s="8" t="s">
        <v>337</v>
      </c>
      <c r="D104" s="8" t="s">
        <v>363</v>
      </c>
      <c r="E104" s="69" t="s">
        <v>364</v>
      </c>
      <c r="F104" s="8"/>
      <c r="G104" s="8" t="s">
        <v>58</v>
      </c>
      <c r="H104" s="8" t="s">
        <v>352</v>
      </c>
      <c r="I104" s="9">
        <v>1</v>
      </c>
      <c r="J104" s="9"/>
      <c r="K104" s="9"/>
      <c r="L104" s="9"/>
      <c r="M104" s="9"/>
      <c r="N104" s="9"/>
      <c r="O104" s="9"/>
      <c r="P104" s="8"/>
      <c r="Q104" s="520"/>
      <c r="R104" s="9"/>
      <c r="S104" s="9"/>
      <c r="T104" s="9"/>
      <c r="U104" s="9"/>
      <c r="V104" s="9"/>
      <c r="W104" s="9"/>
      <c r="X104" s="9"/>
      <c r="Y104" s="9"/>
      <c r="Z104" s="9"/>
      <c r="AA104" s="8"/>
      <c r="AB104" s="8"/>
      <c r="AC104" s="314" t="str">
        <f t="shared" si="31"/>
        <v>no</v>
      </c>
      <c r="AD104" s="314">
        <f>COUNTA(first:Last!R104)</f>
        <v>0</v>
      </c>
      <c r="AE104" s="157">
        <f>SUM(first:Last!Z104)</f>
        <v>0</v>
      </c>
      <c r="AF104" s="157" t="str">
        <f t="shared" si="32"/>
        <v>yes</v>
      </c>
      <c r="AG104" s="157">
        <f>COUNTA(Last:end!M104)</f>
        <v>2</v>
      </c>
      <c r="AH104" s="520">
        <f>COUNTA(Last:end!M104)/6</f>
        <v>0.33333333333333331</v>
      </c>
      <c r="AI104" s="157">
        <f>SUM(Last:end!O104)</f>
        <v>0</v>
      </c>
      <c r="AJ104" s="157">
        <f>MIN(Last:end!L104)</f>
        <v>2023</v>
      </c>
      <c r="AK104" s="157" t="e">
        <f>IF(AND(AJ104&lt;=2023,#REF!="high interest / inadequate offer "),"yes","no")</f>
        <v>#REF!</v>
      </c>
      <c r="AL104" s="157" t="str">
        <f t="shared" si="33"/>
        <v>no</v>
      </c>
      <c r="AM104" s="157"/>
      <c r="AN104" s="157"/>
      <c r="AO104" s="157"/>
      <c r="AP104" s="157">
        <v>1</v>
      </c>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row>
    <row r="105" spans="1:209" s="26" customFormat="1" ht="62.25" customHeight="1">
      <c r="A105" s="8" t="s">
        <v>53</v>
      </c>
      <c r="B105" s="29" t="s">
        <v>336</v>
      </c>
      <c r="C105" s="8" t="s">
        <v>337</v>
      </c>
      <c r="D105" s="8" t="s">
        <v>365</v>
      </c>
      <c r="E105" s="69" t="s">
        <v>366</v>
      </c>
      <c r="F105" s="8"/>
      <c r="G105" s="8" t="s">
        <v>58</v>
      </c>
      <c r="H105" s="8" t="s">
        <v>352</v>
      </c>
      <c r="I105" s="9">
        <v>1</v>
      </c>
      <c r="J105" s="9"/>
      <c r="K105" s="9"/>
      <c r="L105" s="9"/>
      <c r="M105" s="9"/>
      <c r="N105" s="9"/>
      <c r="O105" s="9"/>
      <c r="P105" s="8"/>
      <c r="Q105" s="520"/>
      <c r="R105" s="9"/>
      <c r="S105" s="9"/>
      <c r="T105" s="9"/>
      <c r="U105" s="9"/>
      <c r="V105" s="9"/>
      <c r="W105" s="9"/>
      <c r="X105" s="9"/>
      <c r="Y105" s="9"/>
      <c r="Z105" s="9"/>
      <c r="AA105" s="8"/>
      <c r="AB105" s="8"/>
      <c r="AC105" s="314" t="str">
        <f t="shared" si="31"/>
        <v>no</v>
      </c>
      <c r="AD105" s="314">
        <f>COUNTA(first:Last!R105)</f>
        <v>0</v>
      </c>
      <c r="AE105" s="157">
        <f>SUM(first:Last!Z105)</f>
        <v>0</v>
      </c>
      <c r="AF105" s="157" t="str">
        <f t="shared" si="32"/>
        <v>yes</v>
      </c>
      <c r="AG105" s="157">
        <f>COUNTA(Last:end!M105)</f>
        <v>2</v>
      </c>
      <c r="AH105" s="520">
        <f>COUNTA(Last:end!M105)/6</f>
        <v>0.33333333333333331</v>
      </c>
      <c r="AI105" s="157">
        <f>SUM(Last:end!O105)</f>
        <v>0</v>
      </c>
      <c r="AJ105" s="157">
        <f>MIN(Last:end!L105)</f>
        <v>2022</v>
      </c>
      <c r="AK105" s="157" t="e">
        <f>IF(AND(AJ105&lt;=2023,#REF!="high interest / inadequate offer "),"yes","no")</f>
        <v>#REF!</v>
      </c>
      <c r="AL105" s="157" t="str">
        <f t="shared" si="33"/>
        <v>no</v>
      </c>
      <c r="AM105" s="157"/>
      <c r="AN105" s="157"/>
      <c r="AO105" s="157"/>
      <c r="AP105" s="157">
        <v>1</v>
      </c>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row>
    <row r="106" spans="1:209" s="26" customFormat="1" ht="62.25" customHeight="1">
      <c r="A106" s="8" t="s">
        <v>53</v>
      </c>
      <c r="B106" s="29" t="s">
        <v>336</v>
      </c>
      <c r="C106" s="8" t="s">
        <v>337</v>
      </c>
      <c r="D106" s="8" t="s">
        <v>367</v>
      </c>
      <c r="E106" s="69" t="s">
        <v>368</v>
      </c>
      <c r="F106" s="8"/>
      <c r="G106" s="8" t="s">
        <v>58</v>
      </c>
      <c r="H106" s="8" t="s">
        <v>352</v>
      </c>
      <c r="I106" s="9">
        <v>1</v>
      </c>
      <c r="J106" s="9"/>
      <c r="K106" s="9"/>
      <c r="L106" s="9"/>
      <c r="M106" s="9"/>
      <c r="N106" s="9"/>
      <c r="O106" s="9"/>
      <c r="P106" s="8"/>
      <c r="Q106" s="520"/>
      <c r="R106" s="9"/>
      <c r="S106" s="9"/>
      <c r="T106" s="9"/>
      <c r="U106" s="9"/>
      <c r="V106" s="9"/>
      <c r="W106" s="9"/>
      <c r="X106" s="9"/>
      <c r="Y106" s="9"/>
      <c r="Z106" s="9"/>
      <c r="AA106" s="8"/>
      <c r="AB106" s="8"/>
      <c r="AC106" s="314" t="str">
        <f t="shared" si="31"/>
        <v>no</v>
      </c>
      <c r="AD106" s="314">
        <f>COUNTA(first:Last!R106)</f>
        <v>0</v>
      </c>
      <c r="AE106" s="157">
        <f>SUM(first:Last!Z106)</f>
        <v>0</v>
      </c>
      <c r="AF106" s="157" t="str">
        <f t="shared" si="32"/>
        <v>yes</v>
      </c>
      <c r="AG106" s="157">
        <f>COUNTA(Last:end!M106)</f>
        <v>2</v>
      </c>
      <c r="AH106" s="520">
        <f>COUNTA(Last:end!M106)/6</f>
        <v>0.33333333333333331</v>
      </c>
      <c r="AI106" s="157">
        <f>SUM(Last:end!O106)</f>
        <v>0</v>
      </c>
      <c r="AJ106" s="157">
        <f>MIN(Last:end!L106)</f>
        <v>2023</v>
      </c>
      <c r="AK106" s="157" t="e">
        <f>IF(AND(AJ106&lt;=2023,#REF!="high interest / inadequate offer "),"yes","no")</f>
        <v>#REF!</v>
      </c>
      <c r="AL106" s="157" t="str">
        <f t="shared" si="33"/>
        <v>no</v>
      </c>
      <c r="AM106" s="157"/>
      <c r="AN106" s="157"/>
      <c r="AO106" s="157"/>
      <c r="AP106" s="157">
        <v>1</v>
      </c>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row>
    <row r="107" spans="1:209" s="26" customFormat="1" ht="62.25" customHeight="1">
      <c r="A107" s="8" t="s">
        <v>53</v>
      </c>
      <c r="B107" s="29" t="s">
        <v>336</v>
      </c>
      <c r="C107" s="8" t="s">
        <v>337</v>
      </c>
      <c r="D107" s="8" t="s">
        <v>369</v>
      </c>
      <c r="E107" s="69" t="s">
        <v>370</v>
      </c>
      <c r="F107" s="8"/>
      <c r="G107" s="8" t="s">
        <v>58</v>
      </c>
      <c r="H107" s="8" t="s">
        <v>352</v>
      </c>
      <c r="I107" s="9">
        <v>1</v>
      </c>
      <c r="J107" s="9"/>
      <c r="K107" s="9"/>
      <c r="L107" s="9"/>
      <c r="M107" s="9"/>
      <c r="N107" s="9"/>
      <c r="O107" s="9"/>
      <c r="P107" s="8"/>
      <c r="Q107" s="520"/>
      <c r="R107" s="9"/>
      <c r="S107" s="9"/>
      <c r="T107" s="9"/>
      <c r="U107" s="9"/>
      <c r="V107" s="9"/>
      <c r="W107" s="9"/>
      <c r="X107" s="9"/>
      <c r="Y107" s="9"/>
      <c r="Z107" s="9"/>
      <c r="AA107" s="8"/>
      <c r="AB107" s="8"/>
      <c r="AC107" s="314" t="str">
        <f t="shared" si="31"/>
        <v>no</v>
      </c>
      <c r="AD107" s="314">
        <f>COUNTA(first:Last!R107)</f>
        <v>0</v>
      </c>
      <c r="AE107" s="157">
        <f>SUM(first:Last!Z107)</f>
        <v>0</v>
      </c>
      <c r="AF107" s="157" t="str">
        <f t="shared" si="32"/>
        <v>yes</v>
      </c>
      <c r="AG107" s="157">
        <f>COUNTA(Last:end!M107)</f>
        <v>1</v>
      </c>
      <c r="AH107" s="520">
        <f>COUNTA(Last:end!M107)/6</f>
        <v>0.16666666666666666</v>
      </c>
      <c r="AI107" s="157">
        <f>SUM(Last:end!O107)</f>
        <v>0</v>
      </c>
      <c r="AJ107" s="157">
        <f>MIN(Last:end!L107)</f>
        <v>0</v>
      </c>
      <c r="AK107" s="157" t="e">
        <f>IF(AND(AJ107&lt;=2023,#REF!="high interest / inadequate offer "),"yes","no")</f>
        <v>#REF!</v>
      </c>
      <c r="AL107" s="157" t="str">
        <f t="shared" si="33"/>
        <v>no</v>
      </c>
      <c r="AM107" s="157"/>
      <c r="AN107" s="157"/>
      <c r="AO107" s="157"/>
      <c r="AP107" s="157">
        <v>1</v>
      </c>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row>
    <row r="108" spans="1:209" s="26" customFormat="1" ht="62.25" customHeight="1">
      <c r="A108" s="8" t="s">
        <v>53</v>
      </c>
      <c r="B108" s="29" t="s">
        <v>336</v>
      </c>
      <c r="C108" s="8" t="s">
        <v>337</v>
      </c>
      <c r="D108" s="8" t="s">
        <v>371</v>
      </c>
      <c r="E108" s="69" t="s">
        <v>372</v>
      </c>
      <c r="F108" s="8"/>
      <c r="G108" s="8" t="s">
        <v>58</v>
      </c>
      <c r="H108" s="8" t="s">
        <v>352</v>
      </c>
      <c r="I108" s="9">
        <v>1</v>
      </c>
      <c r="J108" s="9"/>
      <c r="K108" s="9"/>
      <c r="L108" s="9"/>
      <c r="M108" s="9"/>
      <c r="N108" s="9"/>
      <c r="O108" s="9"/>
      <c r="P108" s="8"/>
      <c r="Q108" s="520"/>
      <c r="R108" s="9"/>
      <c r="S108" s="9"/>
      <c r="T108" s="9"/>
      <c r="U108" s="9"/>
      <c r="V108" s="9"/>
      <c r="W108" s="9"/>
      <c r="X108" s="9"/>
      <c r="Y108" s="9"/>
      <c r="Z108" s="9"/>
      <c r="AA108" s="8"/>
      <c r="AB108" s="8"/>
      <c r="AC108" s="314" t="str">
        <f t="shared" si="31"/>
        <v>no</v>
      </c>
      <c r="AD108" s="314">
        <f>COUNTA(first:Last!R108)</f>
        <v>0</v>
      </c>
      <c r="AE108" s="157">
        <f>SUM(first:Last!Z108)</f>
        <v>0</v>
      </c>
      <c r="AF108" s="157" t="str">
        <f t="shared" si="32"/>
        <v>yes</v>
      </c>
      <c r="AG108" s="157">
        <f>COUNTA(Last:end!M108)</f>
        <v>1</v>
      </c>
      <c r="AH108" s="520">
        <f>COUNTA(Last:end!M108)/6</f>
        <v>0.16666666666666666</v>
      </c>
      <c r="AI108" s="157">
        <f>SUM(Last:end!O108)</f>
        <v>0</v>
      </c>
      <c r="AJ108" s="157">
        <f>MIN(Last:end!L108)</f>
        <v>0</v>
      </c>
      <c r="AK108" s="157" t="e">
        <f>IF(AND(AJ108&lt;=2023,#REF!="high interest / inadequate offer "),"yes","no")</f>
        <v>#REF!</v>
      </c>
      <c r="AL108" s="157" t="str">
        <f t="shared" si="33"/>
        <v>no</v>
      </c>
      <c r="AM108" s="157"/>
      <c r="AN108" s="157"/>
      <c r="AO108" s="157"/>
      <c r="AP108" s="157">
        <v>1</v>
      </c>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row>
    <row r="109" spans="1:209" s="26" customFormat="1" ht="62.25" customHeight="1">
      <c r="A109" s="8" t="s">
        <v>53</v>
      </c>
      <c r="B109" s="29" t="s">
        <v>336</v>
      </c>
      <c r="C109" s="8" t="s">
        <v>337</v>
      </c>
      <c r="D109" s="8" t="s">
        <v>373</v>
      </c>
      <c r="E109" s="69" t="s">
        <v>374</v>
      </c>
      <c r="F109" s="8"/>
      <c r="G109" s="8" t="s">
        <v>58</v>
      </c>
      <c r="H109" s="8" t="s">
        <v>352</v>
      </c>
      <c r="I109" s="9">
        <v>1</v>
      </c>
      <c r="J109" s="9"/>
      <c r="K109" s="9"/>
      <c r="L109" s="9"/>
      <c r="M109" s="9"/>
      <c r="N109" s="9"/>
      <c r="O109" s="9"/>
      <c r="P109" s="8"/>
      <c r="Q109" s="520"/>
      <c r="R109" s="9"/>
      <c r="S109" s="9"/>
      <c r="T109" s="9"/>
      <c r="U109" s="9"/>
      <c r="V109" s="9"/>
      <c r="W109" s="9"/>
      <c r="X109" s="9"/>
      <c r="Y109" s="9"/>
      <c r="Z109" s="9"/>
      <c r="AA109" s="8"/>
      <c r="AB109" s="8"/>
      <c r="AC109" s="314" t="str">
        <f t="shared" si="31"/>
        <v>no</v>
      </c>
      <c r="AD109" s="314">
        <f>COUNTA(first:Last!R109)</f>
        <v>0</v>
      </c>
      <c r="AE109" s="157">
        <f>SUM(first:Last!Z109)</f>
        <v>0</v>
      </c>
      <c r="AF109" s="157" t="str">
        <f t="shared" si="32"/>
        <v>yes</v>
      </c>
      <c r="AG109" s="157">
        <f>COUNTA(Last:end!M109)</f>
        <v>2</v>
      </c>
      <c r="AH109" s="520">
        <f>COUNTA(Last:end!M109)/6</f>
        <v>0.33333333333333331</v>
      </c>
      <c r="AI109" s="157">
        <f>SUM(Last:end!O109)</f>
        <v>0</v>
      </c>
      <c r="AJ109" s="157">
        <f>MIN(Last:end!L109)</f>
        <v>2022</v>
      </c>
      <c r="AK109" s="157" t="e">
        <f>IF(AND(AJ109&lt;=2023,#REF!="high interest / inadequate offer "),"yes","no")</f>
        <v>#REF!</v>
      </c>
      <c r="AL109" s="157" t="str">
        <f t="shared" si="33"/>
        <v>no</v>
      </c>
      <c r="AM109" s="157"/>
      <c r="AN109" s="157"/>
      <c r="AO109" s="157"/>
      <c r="AP109" s="157">
        <v>1</v>
      </c>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row>
    <row r="110" spans="1:209" s="26" customFormat="1" ht="62.25" customHeight="1">
      <c r="A110" s="8" t="s">
        <v>53</v>
      </c>
      <c r="B110" s="29" t="s">
        <v>336</v>
      </c>
      <c r="C110" s="8" t="s">
        <v>337</v>
      </c>
      <c r="D110" s="8" t="s">
        <v>375</v>
      </c>
      <c r="E110" s="69" t="s">
        <v>376</v>
      </c>
      <c r="F110" s="8"/>
      <c r="G110" s="8" t="s">
        <v>58</v>
      </c>
      <c r="H110" s="8" t="s">
        <v>352</v>
      </c>
      <c r="I110" s="9">
        <v>1</v>
      </c>
      <c r="J110" s="9"/>
      <c r="K110" s="9"/>
      <c r="L110" s="9"/>
      <c r="M110" s="9"/>
      <c r="N110" s="9"/>
      <c r="O110" s="9"/>
      <c r="P110" s="8"/>
      <c r="Q110" s="520"/>
      <c r="R110" s="9"/>
      <c r="S110" s="9"/>
      <c r="T110" s="9"/>
      <c r="U110" s="9"/>
      <c r="V110" s="9"/>
      <c r="W110" s="9"/>
      <c r="X110" s="9"/>
      <c r="Y110" s="9"/>
      <c r="Z110" s="9"/>
      <c r="AA110" s="8"/>
      <c r="AB110" s="8"/>
      <c r="AC110" s="314" t="str">
        <f t="shared" si="31"/>
        <v>no</v>
      </c>
      <c r="AD110" s="314">
        <f>COUNTA(first:Last!R110)</f>
        <v>0</v>
      </c>
      <c r="AE110" s="157">
        <f>SUM(first:Last!Z110)</f>
        <v>0</v>
      </c>
      <c r="AF110" s="157" t="str">
        <f t="shared" si="32"/>
        <v>yes</v>
      </c>
      <c r="AG110" s="157">
        <f>COUNTA(Last:end!M110)</f>
        <v>2</v>
      </c>
      <c r="AH110" s="520">
        <f>COUNTA(Last:end!M110)/6</f>
        <v>0.33333333333333331</v>
      </c>
      <c r="AI110" s="157">
        <f>SUM(Last:end!O110)</f>
        <v>0</v>
      </c>
      <c r="AJ110" s="157">
        <f>MIN(Last:end!L110)</f>
        <v>2022</v>
      </c>
      <c r="AK110" s="157" t="e">
        <f>IF(AND(AJ110&lt;=2023,#REF!="high interest / inadequate offer "),"yes","no")</f>
        <v>#REF!</v>
      </c>
      <c r="AL110" s="157" t="str">
        <f t="shared" si="33"/>
        <v>no</v>
      </c>
      <c r="AM110" s="157"/>
      <c r="AN110" s="157"/>
      <c r="AO110" s="157"/>
      <c r="AP110" s="157">
        <v>1</v>
      </c>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row>
    <row r="111" spans="1:209" s="26" customFormat="1" ht="62.25" customHeight="1">
      <c r="A111" s="8" t="s">
        <v>53</v>
      </c>
      <c r="B111" s="29" t="s">
        <v>336</v>
      </c>
      <c r="C111" s="8" t="s">
        <v>337</v>
      </c>
      <c r="D111" s="8" t="s">
        <v>377</v>
      </c>
      <c r="E111" s="69" t="s">
        <v>378</v>
      </c>
      <c r="F111" s="8"/>
      <c r="G111" s="8" t="s">
        <v>58</v>
      </c>
      <c r="H111" s="8" t="s">
        <v>352</v>
      </c>
      <c r="I111" s="9">
        <v>1</v>
      </c>
      <c r="J111" s="9"/>
      <c r="K111" s="9"/>
      <c r="L111" s="9"/>
      <c r="M111" s="9"/>
      <c r="N111" s="9"/>
      <c r="O111" s="9"/>
      <c r="P111" s="8"/>
      <c r="Q111" s="520"/>
      <c r="R111" s="9"/>
      <c r="S111" s="9"/>
      <c r="T111" s="9"/>
      <c r="U111" s="9"/>
      <c r="V111" s="9"/>
      <c r="W111" s="9"/>
      <c r="X111" s="9"/>
      <c r="Y111" s="9"/>
      <c r="Z111" s="9"/>
      <c r="AA111" s="8"/>
      <c r="AB111" s="8"/>
      <c r="AC111" s="314" t="str">
        <f t="shared" si="31"/>
        <v>no</v>
      </c>
      <c r="AD111" s="314">
        <f>COUNTA(first:Last!R111)</f>
        <v>0</v>
      </c>
      <c r="AE111" s="157">
        <f>SUM(first:Last!Z111)</f>
        <v>0</v>
      </c>
      <c r="AF111" s="157" t="str">
        <f t="shared" si="32"/>
        <v>yes</v>
      </c>
      <c r="AG111" s="157">
        <f>COUNTA(Last:end!M111)</f>
        <v>2</v>
      </c>
      <c r="AH111" s="520">
        <f>COUNTA(Last:end!M111)/6</f>
        <v>0.33333333333333331</v>
      </c>
      <c r="AI111" s="157">
        <f>SUM(Last:end!O111)</f>
        <v>0</v>
      </c>
      <c r="AJ111" s="157">
        <f>MIN(Last:end!L111)</f>
        <v>2022</v>
      </c>
      <c r="AK111" s="157" t="e">
        <f>IF(AND(AJ111&lt;=2023,#REF!="high interest / inadequate offer "),"yes","no")</f>
        <v>#REF!</v>
      </c>
      <c r="AL111" s="157" t="str">
        <f t="shared" si="33"/>
        <v>no</v>
      </c>
      <c r="AM111" s="157"/>
      <c r="AN111" s="157"/>
      <c r="AO111" s="157"/>
      <c r="AP111" s="157">
        <v>1</v>
      </c>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row>
    <row r="112" spans="1:209" s="26" customFormat="1" ht="62.25" customHeight="1">
      <c r="A112" s="8" t="s">
        <v>53</v>
      </c>
      <c r="B112" s="29" t="s">
        <v>336</v>
      </c>
      <c r="C112" s="8" t="s">
        <v>337</v>
      </c>
      <c r="D112" s="8" t="s">
        <v>379</v>
      </c>
      <c r="E112" s="69" t="s">
        <v>380</v>
      </c>
      <c r="F112" s="8"/>
      <c r="G112" s="8" t="s">
        <v>58</v>
      </c>
      <c r="H112" s="8" t="s">
        <v>352</v>
      </c>
      <c r="I112" s="9">
        <v>1</v>
      </c>
      <c r="J112" s="9"/>
      <c r="K112" s="9"/>
      <c r="L112" s="9"/>
      <c r="M112" s="9"/>
      <c r="N112" s="9"/>
      <c r="O112" s="9"/>
      <c r="P112" s="8"/>
      <c r="Q112" s="520"/>
      <c r="R112" s="9"/>
      <c r="S112" s="9"/>
      <c r="T112" s="9"/>
      <c r="U112" s="9"/>
      <c r="V112" s="9"/>
      <c r="W112" s="9"/>
      <c r="X112" s="9"/>
      <c r="Y112" s="9"/>
      <c r="Z112" s="9"/>
      <c r="AA112" s="8"/>
      <c r="AB112" s="8"/>
      <c r="AC112" s="314" t="str">
        <f t="shared" si="31"/>
        <v>no</v>
      </c>
      <c r="AD112" s="314">
        <f>COUNTA(first:Last!R112)</f>
        <v>0</v>
      </c>
      <c r="AE112" s="157">
        <f>SUM(first:Last!Z112)</f>
        <v>0</v>
      </c>
      <c r="AF112" s="157" t="str">
        <f t="shared" si="32"/>
        <v>yes</v>
      </c>
      <c r="AG112" s="157">
        <f>COUNTA(Last:end!M112)</f>
        <v>2</v>
      </c>
      <c r="AH112" s="520">
        <f>COUNTA(Last:end!M112)/6</f>
        <v>0.33333333333333331</v>
      </c>
      <c r="AI112" s="157">
        <f>SUM(Last:end!O112)</f>
        <v>0</v>
      </c>
      <c r="AJ112" s="157">
        <f>MIN(Last:end!L112)</f>
        <v>2022</v>
      </c>
      <c r="AK112" s="157" t="e">
        <f>IF(AND(AJ112&lt;=2023,#REF!="high interest / inadequate offer "),"yes","no")</f>
        <v>#REF!</v>
      </c>
      <c r="AL112" s="157" t="str">
        <f t="shared" si="33"/>
        <v>no</v>
      </c>
      <c r="AM112" s="157"/>
      <c r="AN112" s="157"/>
      <c r="AO112" s="157"/>
      <c r="AP112" s="157">
        <v>1</v>
      </c>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row>
    <row r="113" spans="1:209" s="26" customFormat="1" ht="62.25" customHeight="1">
      <c r="A113" s="8" t="s">
        <v>53</v>
      </c>
      <c r="B113" s="29" t="s">
        <v>336</v>
      </c>
      <c r="C113" s="8" t="s">
        <v>337</v>
      </c>
      <c r="D113" s="8" t="s">
        <v>381</v>
      </c>
      <c r="E113" s="69" t="s">
        <v>382</v>
      </c>
      <c r="F113" s="8"/>
      <c r="G113" s="8" t="s">
        <v>58</v>
      </c>
      <c r="H113" s="8" t="s">
        <v>352</v>
      </c>
      <c r="I113" s="9">
        <v>1</v>
      </c>
      <c r="J113" s="9"/>
      <c r="K113" s="9"/>
      <c r="L113" s="9"/>
      <c r="M113" s="9"/>
      <c r="N113" s="9"/>
      <c r="O113" s="9"/>
      <c r="P113" s="8"/>
      <c r="Q113" s="520"/>
      <c r="R113" s="9"/>
      <c r="S113" s="9"/>
      <c r="T113" s="9"/>
      <c r="U113" s="9"/>
      <c r="V113" s="9"/>
      <c r="W113" s="9"/>
      <c r="X113" s="9"/>
      <c r="Y113" s="9"/>
      <c r="Z113" s="9"/>
      <c r="AA113" s="8"/>
      <c r="AB113" s="8"/>
      <c r="AC113" s="314" t="str">
        <f t="shared" si="31"/>
        <v>no</v>
      </c>
      <c r="AD113" s="314">
        <f>COUNTA(first:Last!R113)</f>
        <v>0</v>
      </c>
      <c r="AE113" s="157">
        <f>SUM(first:Last!Z113)</f>
        <v>0</v>
      </c>
      <c r="AF113" s="157" t="str">
        <f t="shared" si="32"/>
        <v>yes</v>
      </c>
      <c r="AG113" s="157">
        <f>COUNTA(Last:end!M113)</f>
        <v>2</v>
      </c>
      <c r="AH113" s="520">
        <f>COUNTA(Last:end!M113)/6</f>
        <v>0.33333333333333331</v>
      </c>
      <c r="AI113" s="157">
        <f>SUM(Last:end!O113)</f>
        <v>0</v>
      </c>
      <c r="AJ113" s="157">
        <f>MIN(Last:end!L113)</f>
        <v>2022</v>
      </c>
      <c r="AK113" s="157" t="e">
        <f>IF(AND(AJ113&lt;=2023,#REF!="high interest / inadequate offer "),"yes","no")</f>
        <v>#REF!</v>
      </c>
      <c r="AL113" s="157" t="str">
        <f t="shared" si="33"/>
        <v>no</v>
      </c>
      <c r="AM113" s="157"/>
      <c r="AN113" s="157"/>
      <c r="AO113" s="157"/>
      <c r="AP113" s="157">
        <v>1</v>
      </c>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row>
    <row r="114" spans="1:209" s="26" customFormat="1" ht="62.25" customHeight="1">
      <c r="A114" s="8" t="s">
        <v>53</v>
      </c>
      <c r="B114" s="29" t="s">
        <v>336</v>
      </c>
      <c r="C114" s="8" t="s">
        <v>337</v>
      </c>
      <c r="D114" s="8" t="s">
        <v>383</v>
      </c>
      <c r="E114" s="69" t="s">
        <v>384</v>
      </c>
      <c r="F114" s="8"/>
      <c r="G114" s="8" t="s">
        <v>58</v>
      </c>
      <c r="H114" s="8" t="s">
        <v>352</v>
      </c>
      <c r="I114" s="9">
        <v>1</v>
      </c>
      <c r="J114" s="9"/>
      <c r="K114" s="9"/>
      <c r="L114" s="9"/>
      <c r="M114" s="9"/>
      <c r="N114" s="9"/>
      <c r="O114" s="9"/>
      <c r="P114" s="8"/>
      <c r="Q114" s="520"/>
      <c r="R114" s="9"/>
      <c r="S114" s="9"/>
      <c r="T114" s="9"/>
      <c r="U114" s="9"/>
      <c r="V114" s="9"/>
      <c r="W114" s="9"/>
      <c r="X114" s="9"/>
      <c r="Y114" s="9"/>
      <c r="Z114" s="9"/>
      <c r="AA114" s="8"/>
      <c r="AB114" s="8"/>
      <c r="AC114" s="314" t="str">
        <f t="shared" si="31"/>
        <v>no</v>
      </c>
      <c r="AD114" s="314">
        <f>COUNTA(first:Last!R114)</f>
        <v>0</v>
      </c>
      <c r="AE114" s="157">
        <f>SUM(first:Last!Z114)</f>
        <v>0</v>
      </c>
      <c r="AF114" s="157" t="str">
        <f t="shared" si="32"/>
        <v>yes</v>
      </c>
      <c r="AG114" s="157">
        <f>COUNTA(Last:end!M114)</f>
        <v>2</v>
      </c>
      <c r="AH114" s="520">
        <f>COUNTA(Last:end!M114)/6</f>
        <v>0.33333333333333331</v>
      </c>
      <c r="AI114" s="157">
        <f>SUM(Last:end!O114)</f>
        <v>0</v>
      </c>
      <c r="AJ114" s="157">
        <f>MIN(Last:end!L114)</f>
        <v>2022</v>
      </c>
      <c r="AK114" s="157" t="e">
        <f>IF(AND(AJ114&lt;=2023,#REF!="high interest / inadequate offer "),"yes","no")</f>
        <v>#REF!</v>
      </c>
      <c r="AL114" s="157" t="str">
        <f t="shared" si="33"/>
        <v>no</v>
      </c>
      <c r="AM114" s="157"/>
      <c r="AN114" s="157"/>
      <c r="AO114" s="157"/>
      <c r="AP114" s="157">
        <v>1</v>
      </c>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row>
    <row r="115" spans="1:209" s="26" customFormat="1" ht="62.25" customHeight="1">
      <c r="A115" s="8" t="s">
        <v>53</v>
      </c>
      <c r="B115" s="29" t="s">
        <v>336</v>
      </c>
      <c r="C115" s="8" t="s">
        <v>337</v>
      </c>
      <c r="D115" s="8" t="s">
        <v>385</v>
      </c>
      <c r="E115" s="69" t="s">
        <v>386</v>
      </c>
      <c r="F115" s="8"/>
      <c r="G115" s="8" t="s">
        <v>58</v>
      </c>
      <c r="H115" s="8" t="s">
        <v>352</v>
      </c>
      <c r="I115" s="9">
        <v>1</v>
      </c>
      <c r="J115" s="9"/>
      <c r="K115" s="9"/>
      <c r="L115" s="9"/>
      <c r="M115" s="9"/>
      <c r="N115" s="9"/>
      <c r="O115" s="9"/>
      <c r="P115" s="8"/>
      <c r="Q115" s="520"/>
      <c r="R115" s="9"/>
      <c r="S115" s="9"/>
      <c r="T115" s="9"/>
      <c r="U115" s="9"/>
      <c r="V115" s="9"/>
      <c r="W115" s="9"/>
      <c r="X115" s="9"/>
      <c r="Y115" s="9"/>
      <c r="Z115" s="9"/>
      <c r="AA115" s="8"/>
      <c r="AB115" s="8"/>
      <c r="AC115" s="314" t="str">
        <f t="shared" si="31"/>
        <v>no</v>
      </c>
      <c r="AD115" s="314">
        <f>COUNTA(first:Last!R115)</f>
        <v>0</v>
      </c>
      <c r="AE115" s="157">
        <f>SUM(first:Last!Z115)</f>
        <v>0</v>
      </c>
      <c r="AF115" s="157" t="str">
        <f t="shared" si="32"/>
        <v>yes</v>
      </c>
      <c r="AG115" s="157">
        <f>COUNTA(Last:end!M115)</f>
        <v>2</v>
      </c>
      <c r="AH115" s="520">
        <f>COUNTA(Last:end!M115)/6</f>
        <v>0.33333333333333331</v>
      </c>
      <c r="AI115" s="157">
        <f>SUM(Last:end!O115)</f>
        <v>0</v>
      </c>
      <c r="AJ115" s="157">
        <f>MIN(Last:end!L115)</f>
        <v>2022</v>
      </c>
      <c r="AK115" s="157" t="e">
        <f>IF(AND(AJ115&lt;=2023,#REF!="high interest / inadequate offer "),"yes","no")</f>
        <v>#REF!</v>
      </c>
      <c r="AL115" s="157" t="str">
        <f t="shared" si="33"/>
        <v>no</v>
      </c>
      <c r="AM115" s="157"/>
      <c r="AN115" s="157"/>
      <c r="AO115" s="157"/>
      <c r="AP115" s="157">
        <v>1</v>
      </c>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row>
    <row r="116" spans="1:209" s="26" customFormat="1" ht="62.25" customHeight="1">
      <c r="A116" s="8" t="s">
        <v>53</v>
      </c>
      <c r="B116" s="29" t="s">
        <v>336</v>
      </c>
      <c r="C116" s="8" t="s">
        <v>337</v>
      </c>
      <c r="D116" s="8" t="s">
        <v>387</v>
      </c>
      <c r="E116" s="69" t="s">
        <v>388</v>
      </c>
      <c r="F116" s="8"/>
      <c r="G116" s="8" t="s">
        <v>58</v>
      </c>
      <c r="H116" s="8" t="s">
        <v>352</v>
      </c>
      <c r="I116" s="9">
        <v>1</v>
      </c>
      <c r="J116" s="9"/>
      <c r="K116" s="9"/>
      <c r="L116" s="9"/>
      <c r="M116" s="9"/>
      <c r="N116" s="9"/>
      <c r="O116" s="9"/>
      <c r="P116" s="8"/>
      <c r="Q116" s="520"/>
      <c r="R116" s="9"/>
      <c r="S116" s="9"/>
      <c r="T116" s="9"/>
      <c r="U116" s="9"/>
      <c r="V116" s="9"/>
      <c r="W116" s="9"/>
      <c r="X116" s="9"/>
      <c r="Y116" s="9"/>
      <c r="Z116" s="9"/>
      <c r="AA116" s="8"/>
      <c r="AB116" s="8"/>
      <c r="AC116" s="314" t="str">
        <f t="shared" si="31"/>
        <v>no</v>
      </c>
      <c r="AD116" s="314">
        <f>COUNTA(first:Last!R116)</f>
        <v>0</v>
      </c>
      <c r="AE116" s="157">
        <f>SUM(first:Last!Z116)</f>
        <v>0</v>
      </c>
      <c r="AF116" s="157" t="str">
        <f t="shared" si="32"/>
        <v>yes</v>
      </c>
      <c r="AG116" s="157">
        <f>COUNTA(Last:end!M116)</f>
        <v>2</v>
      </c>
      <c r="AH116" s="520">
        <f>COUNTA(Last:end!M116)/6</f>
        <v>0.33333333333333331</v>
      </c>
      <c r="AI116" s="157">
        <f>SUM(Last:end!O116)</f>
        <v>0</v>
      </c>
      <c r="AJ116" s="157">
        <f>MIN(Last:end!L116)</f>
        <v>2022</v>
      </c>
      <c r="AK116" s="157" t="e">
        <f>IF(AND(AJ116&lt;=2023,#REF!="high interest / inadequate offer "),"yes","no")</f>
        <v>#REF!</v>
      </c>
      <c r="AL116" s="157" t="str">
        <f t="shared" si="33"/>
        <v>no</v>
      </c>
      <c r="AM116" s="157"/>
      <c r="AN116" s="157"/>
      <c r="AO116" s="157"/>
      <c r="AP116" s="157">
        <v>1</v>
      </c>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row>
    <row r="117" spans="1:209" s="26" customFormat="1" ht="62.25" customHeight="1">
      <c r="A117" s="8" t="s">
        <v>53</v>
      </c>
      <c r="B117" s="29" t="s">
        <v>336</v>
      </c>
      <c r="C117" s="8" t="s">
        <v>337</v>
      </c>
      <c r="D117" s="8" t="s">
        <v>389</v>
      </c>
      <c r="E117" s="69" t="s">
        <v>390</v>
      </c>
      <c r="F117" s="8"/>
      <c r="G117" s="8" t="s">
        <v>58</v>
      </c>
      <c r="H117" s="8" t="s">
        <v>352</v>
      </c>
      <c r="I117" s="9">
        <v>1</v>
      </c>
      <c r="J117" s="9"/>
      <c r="K117" s="9"/>
      <c r="L117" s="9"/>
      <c r="M117" s="9"/>
      <c r="N117" s="9"/>
      <c r="O117" s="9"/>
      <c r="P117" s="8"/>
      <c r="Q117" s="520"/>
      <c r="R117" s="9"/>
      <c r="S117" s="9"/>
      <c r="T117" s="9"/>
      <c r="U117" s="9"/>
      <c r="V117" s="9"/>
      <c r="W117" s="9"/>
      <c r="X117" s="9"/>
      <c r="Y117" s="9"/>
      <c r="Z117" s="9"/>
      <c r="AA117" s="8"/>
      <c r="AB117" s="8"/>
      <c r="AC117" s="314" t="str">
        <f t="shared" si="31"/>
        <v>no</v>
      </c>
      <c r="AD117" s="314">
        <f>COUNTA(first:Last!R117)</f>
        <v>0</v>
      </c>
      <c r="AE117" s="157">
        <f>SUM(first:Last!Z117)</f>
        <v>0</v>
      </c>
      <c r="AF117" s="157" t="str">
        <f t="shared" si="32"/>
        <v>yes</v>
      </c>
      <c r="AG117" s="157">
        <f>COUNTA(Last:end!M117)</f>
        <v>2</v>
      </c>
      <c r="AH117" s="520">
        <f>COUNTA(Last:end!M117)/6</f>
        <v>0.33333333333333331</v>
      </c>
      <c r="AI117" s="157">
        <f>SUM(Last:end!O117)</f>
        <v>300</v>
      </c>
      <c r="AJ117" s="157">
        <f>MIN(Last:end!L117)</f>
        <v>2023</v>
      </c>
      <c r="AK117" s="157" t="e">
        <f>IF(AND(AJ117&lt;=2023,#REF!="high interest / inadequate offer "),"yes","no")</f>
        <v>#REF!</v>
      </c>
      <c r="AL117" s="157" t="str">
        <f t="shared" si="33"/>
        <v>no</v>
      </c>
      <c r="AM117" s="157"/>
      <c r="AN117" s="157"/>
      <c r="AO117" s="157"/>
      <c r="AP117" s="157">
        <v>1</v>
      </c>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row>
    <row r="118" spans="1:209" s="26" customFormat="1" ht="62.25" customHeight="1">
      <c r="A118" s="8" t="s">
        <v>53</v>
      </c>
      <c r="B118" s="29" t="s">
        <v>336</v>
      </c>
      <c r="C118" s="8" t="s">
        <v>337</v>
      </c>
      <c r="D118" s="8" t="s">
        <v>391</v>
      </c>
      <c r="E118" s="69" t="s">
        <v>392</v>
      </c>
      <c r="F118" s="8"/>
      <c r="G118" s="8" t="s">
        <v>58</v>
      </c>
      <c r="H118" s="8" t="s">
        <v>352</v>
      </c>
      <c r="I118" s="9">
        <v>1</v>
      </c>
      <c r="J118" s="9"/>
      <c r="K118" s="9"/>
      <c r="L118" s="9"/>
      <c r="M118" s="9"/>
      <c r="N118" s="9"/>
      <c r="O118" s="9"/>
      <c r="P118" s="8"/>
      <c r="Q118" s="520"/>
      <c r="R118" s="9"/>
      <c r="S118" s="9"/>
      <c r="T118" s="9"/>
      <c r="U118" s="9"/>
      <c r="V118" s="9"/>
      <c r="W118" s="9"/>
      <c r="X118" s="9"/>
      <c r="Y118" s="9"/>
      <c r="Z118" s="9"/>
      <c r="AA118" s="8"/>
      <c r="AB118" s="8"/>
      <c r="AC118" s="314" t="str">
        <f t="shared" si="31"/>
        <v>no</v>
      </c>
      <c r="AD118" s="314">
        <f>COUNTA(first:Last!R118)</f>
        <v>0</v>
      </c>
      <c r="AE118" s="157">
        <f>SUM(first:Last!Z118)</f>
        <v>0</v>
      </c>
      <c r="AF118" s="157" t="str">
        <f t="shared" si="32"/>
        <v>yes</v>
      </c>
      <c r="AG118" s="157">
        <f>COUNTA(Last:end!M118)</f>
        <v>2</v>
      </c>
      <c r="AH118" s="520">
        <f>COUNTA(Last:end!M118)/6</f>
        <v>0.33333333333333331</v>
      </c>
      <c r="AI118" s="157">
        <f>SUM(Last:end!O118)</f>
        <v>300</v>
      </c>
      <c r="AJ118" s="157">
        <f>MIN(Last:end!L118)</f>
        <v>2022</v>
      </c>
      <c r="AK118" s="157" t="e">
        <f>IF(AND(AJ118&lt;=2023,#REF!="high interest / inadequate offer "),"yes","no")</f>
        <v>#REF!</v>
      </c>
      <c r="AL118" s="157" t="str">
        <f t="shared" si="33"/>
        <v>no</v>
      </c>
      <c r="AM118" s="157"/>
      <c r="AN118" s="157"/>
      <c r="AO118" s="157"/>
      <c r="AP118" s="157">
        <v>1</v>
      </c>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row>
    <row r="119" spans="1:209" s="26" customFormat="1" ht="62.25" customHeight="1">
      <c r="A119" s="8" t="s">
        <v>53</v>
      </c>
      <c r="B119" s="29" t="s">
        <v>336</v>
      </c>
      <c r="C119" s="8" t="s">
        <v>337</v>
      </c>
      <c r="D119" s="8" t="s">
        <v>393</v>
      </c>
      <c r="E119" s="69" t="s">
        <v>394</v>
      </c>
      <c r="F119" s="8"/>
      <c r="G119" s="8" t="s">
        <v>58</v>
      </c>
      <c r="H119" s="8" t="s">
        <v>352</v>
      </c>
      <c r="I119" s="9">
        <v>1</v>
      </c>
      <c r="J119" s="9"/>
      <c r="K119" s="9"/>
      <c r="L119" s="9"/>
      <c r="M119" s="9"/>
      <c r="N119" s="9"/>
      <c r="O119" s="9"/>
      <c r="P119" s="8"/>
      <c r="Q119" s="520"/>
      <c r="R119" s="9"/>
      <c r="S119" s="9"/>
      <c r="T119" s="9"/>
      <c r="U119" s="9"/>
      <c r="V119" s="9"/>
      <c r="W119" s="9"/>
      <c r="X119" s="9"/>
      <c r="Y119" s="9"/>
      <c r="Z119" s="9"/>
      <c r="AA119" s="8"/>
      <c r="AB119" s="8"/>
      <c r="AC119" s="314" t="str">
        <f t="shared" si="31"/>
        <v>no</v>
      </c>
      <c r="AD119" s="314">
        <f>COUNTA(first:Last!R119)</f>
        <v>0</v>
      </c>
      <c r="AE119" s="157">
        <f>SUM(first:Last!Z119)</f>
        <v>0</v>
      </c>
      <c r="AF119" s="157" t="str">
        <f t="shared" si="32"/>
        <v>yes</v>
      </c>
      <c r="AG119" s="157">
        <f>COUNTA(Last:end!M119)</f>
        <v>2</v>
      </c>
      <c r="AH119" s="520">
        <f>COUNTA(Last:end!M119)/6</f>
        <v>0.33333333333333331</v>
      </c>
      <c r="AI119" s="157">
        <f>SUM(Last:end!O119)</f>
        <v>0</v>
      </c>
      <c r="AJ119" s="157">
        <f>MIN(Last:end!L119)</f>
        <v>2022</v>
      </c>
      <c r="AK119" s="157" t="e">
        <f>IF(AND(AJ119&lt;=2023,#REF!="high interest / inadequate offer "),"yes","no")</f>
        <v>#REF!</v>
      </c>
      <c r="AL119" s="157" t="str">
        <f t="shared" si="33"/>
        <v>no</v>
      </c>
      <c r="AM119" s="157"/>
      <c r="AN119" s="157"/>
      <c r="AO119" s="157"/>
      <c r="AP119" s="157">
        <v>1</v>
      </c>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row>
    <row r="120" spans="1:209" s="26" customFormat="1" ht="62.25" customHeight="1">
      <c r="A120" s="8" t="s">
        <v>53</v>
      </c>
      <c r="B120" s="29" t="s">
        <v>336</v>
      </c>
      <c r="C120" s="8" t="s">
        <v>337</v>
      </c>
      <c r="D120" s="8" t="s">
        <v>395</v>
      </c>
      <c r="E120" s="69" t="s">
        <v>396</v>
      </c>
      <c r="F120" s="8"/>
      <c r="G120" s="8" t="s">
        <v>58</v>
      </c>
      <c r="H120" s="8" t="s">
        <v>352</v>
      </c>
      <c r="I120" s="9">
        <v>1</v>
      </c>
      <c r="J120" s="9"/>
      <c r="K120" s="9"/>
      <c r="L120" s="9"/>
      <c r="M120" s="9"/>
      <c r="N120" s="9"/>
      <c r="O120" s="9"/>
      <c r="P120" s="8"/>
      <c r="Q120" s="520"/>
      <c r="R120" s="9"/>
      <c r="S120" s="9"/>
      <c r="T120" s="9"/>
      <c r="U120" s="9"/>
      <c r="V120" s="9"/>
      <c r="W120" s="9"/>
      <c r="X120" s="9"/>
      <c r="Y120" s="9"/>
      <c r="Z120" s="9"/>
      <c r="AA120" s="8"/>
      <c r="AB120" s="8"/>
      <c r="AC120" s="314" t="str">
        <f t="shared" si="31"/>
        <v>no</v>
      </c>
      <c r="AD120" s="314">
        <f>COUNTA(first:Last!R120)</f>
        <v>0</v>
      </c>
      <c r="AE120" s="157">
        <f>SUM(first:Last!Z120)</f>
        <v>0</v>
      </c>
      <c r="AF120" s="157" t="str">
        <f t="shared" si="32"/>
        <v>yes</v>
      </c>
      <c r="AG120" s="157">
        <f>COUNTA(Last:end!M120)</f>
        <v>2</v>
      </c>
      <c r="AH120" s="520">
        <f>COUNTA(Last:end!M120)/6</f>
        <v>0.33333333333333331</v>
      </c>
      <c r="AI120" s="157">
        <f>SUM(Last:end!O120)</f>
        <v>300</v>
      </c>
      <c r="AJ120" s="157">
        <f>MIN(Last:end!L120)</f>
        <v>2022</v>
      </c>
      <c r="AK120" s="157" t="e">
        <f>IF(AND(AJ120&lt;=2023,#REF!="high interest / inadequate offer "),"yes","no")</f>
        <v>#REF!</v>
      </c>
      <c r="AL120" s="157" t="str">
        <f t="shared" si="33"/>
        <v>no</v>
      </c>
      <c r="AM120" s="157"/>
      <c r="AN120" s="157"/>
      <c r="AO120" s="157"/>
      <c r="AP120" s="157">
        <v>1</v>
      </c>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row>
    <row r="121" spans="1:209" s="26" customFormat="1" ht="62.25" customHeight="1">
      <c r="A121" s="8" t="s">
        <v>53</v>
      </c>
      <c r="B121" s="29" t="s">
        <v>336</v>
      </c>
      <c r="C121" s="8" t="s">
        <v>337</v>
      </c>
      <c r="D121" s="8" t="s">
        <v>397</v>
      </c>
      <c r="E121" s="69" t="s">
        <v>398</v>
      </c>
      <c r="F121" s="8"/>
      <c r="G121" s="8" t="s">
        <v>58</v>
      </c>
      <c r="H121" s="8" t="s">
        <v>352</v>
      </c>
      <c r="I121" s="9">
        <v>1</v>
      </c>
      <c r="J121" s="9"/>
      <c r="K121" s="9"/>
      <c r="L121" s="9"/>
      <c r="M121" s="9"/>
      <c r="N121" s="9"/>
      <c r="O121" s="9"/>
      <c r="P121" s="8"/>
      <c r="Q121" s="520"/>
      <c r="R121" s="9"/>
      <c r="S121" s="9"/>
      <c r="T121" s="9"/>
      <c r="U121" s="9"/>
      <c r="V121" s="9"/>
      <c r="W121" s="9"/>
      <c r="X121" s="9"/>
      <c r="Y121" s="9"/>
      <c r="Z121" s="9"/>
      <c r="AA121" s="8"/>
      <c r="AB121" s="8"/>
      <c r="AC121" s="314" t="str">
        <f t="shared" si="31"/>
        <v>no</v>
      </c>
      <c r="AD121" s="314">
        <f>COUNTA(first:Last!R121)</f>
        <v>0</v>
      </c>
      <c r="AE121" s="157">
        <f>SUM(first:Last!Z121)</f>
        <v>0</v>
      </c>
      <c r="AF121" s="157" t="str">
        <f t="shared" si="32"/>
        <v>yes</v>
      </c>
      <c r="AG121" s="157">
        <f>COUNTA(Last:end!M121)</f>
        <v>2</v>
      </c>
      <c r="AH121" s="520">
        <f>COUNTA(Last:end!M121)/6</f>
        <v>0.33333333333333331</v>
      </c>
      <c r="AI121" s="157">
        <f>SUM(Last:end!O121)</f>
        <v>300</v>
      </c>
      <c r="AJ121" s="157">
        <f>MIN(Last:end!L121)</f>
        <v>2022</v>
      </c>
      <c r="AK121" s="157" t="e">
        <f>IF(AND(AJ121&lt;=2023,#REF!="high interest / inadequate offer "),"yes","no")</f>
        <v>#REF!</v>
      </c>
      <c r="AL121" s="157" t="str">
        <f t="shared" si="33"/>
        <v>no</v>
      </c>
      <c r="AM121" s="157"/>
      <c r="AN121" s="157"/>
      <c r="AO121" s="157"/>
      <c r="AP121" s="157">
        <v>1</v>
      </c>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row>
    <row r="122" spans="1:209" s="26" customFormat="1" ht="62.25" customHeight="1">
      <c r="A122" s="8" t="s">
        <v>53</v>
      </c>
      <c r="B122" s="29" t="s">
        <v>336</v>
      </c>
      <c r="C122" s="8" t="s">
        <v>337</v>
      </c>
      <c r="D122" s="8" t="s">
        <v>399</v>
      </c>
      <c r="E122" s="69" t="s">
        <v>400</v>
      </c>
      <c r="F122" s="8"/>
      <c r="G122" s="8" t="s">
        <v>58</v>
      </c>
      <c r="H122" s="8" t="s">
        <v>352</v>
      </c>
      <c r="I122" s="9">
        <v>1</v>
      </c>
      <c r="J122" s="9"/>
      <c r="K122" s="9"/>
      <c r="L122" s="9"/>
      <c r="M122" s="9"/>
      <c r="N122" s="9"/>
      <c r="O122" s="9"/>
      <c r="P122" s="8"/>
      <c r="Q122" s="520"/>
      <c r="R122" s="9"/>
      <c r="S122" s="9"/>
      <c r="T122" s="9"/>
      <c r="U122" s="9"/>
      <c r="V122" s="9"/>
      <c r="W122" s="9"/>
      <c r="X122" s="9"/>
      <c r="Y122" s="9"/>
      <c r="Z122" s="9"/>
      <c r="AA122" s="8"/>
      <c r="AB122" s="8"/>
      <c r="AC122" s="314" t="str">
        <f t="shared" si="31"/>
        <v>no</v>
      </c>
      <c r="AD122" s="314">
        <f>COUNTA(first:Last!R122)</f>
        <v>0</v>
      </c>
      <c r="AE122" s="157">
        <f>SUM(first:Last!Z122)</f>
        <v>0</v>
      </c>
      <c r="AF122" s="157" t="str">
        <f t="shared" si="32"/>
        <v>yes</v>
      </c>
      <c r="AG122" s="157">
        <f>COUNTA(Last:end!M122)</f>
        <v>2</v>
      </c>
      <c r="AH122" s="520">
        <f>COUNTA(Last:end!M122)/6</f>
        <v>0.33333333333333331</v>
      </c>
      <c r="AI122" s="157">
        <f>SUM(Last:end!O122)</f>
        <v>300</v>
      </c>
      <c r="AJ122" s="157">
        <f>MIN(Last:end!L122)</f>
        <v>2022</v>
      </c>
      <c r="AK122" s="157" t="e">
        <f>IF(AND(AJ122&lt;=2023,#REF!="high interest / inadequate offer "),"yes","no")</f>
        <v>#REF!</v>
      </c>
      <c r="AL122" s="157" t="str">
        <f t="shared" si="33"/>
        <v>no</v>
      </c>
      <c r="AM122" s="157"/>
      <c r="AN122" s="157"/>
      <c r="AO122" s="157"/>
      <c r="AP122" s="157">
        <v>1</v>
      </c>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row>
    <row r="123" spans="1:209" s="26" customFormat="1" ht="62.25" customHeight="1">
      <c r="A123" s="8" t="s">
        <v>53</v>
      </c>
      <c r="B123" s="29" t="s">
        <v>336</v>
      </c>
      <c r="C123" s="8" t="s">
        <v>337</v>
      </c>
      <c r="D123" s="8" t="s">
        <v>401</v>
      </c>
      <c r="E123" s="69" t="s">
        <v>402</v>
      </c>
      <c r="F123" s="8"/>
      <c r="G123" s="8" t="s">
        <v>58</v>
      </c>
      <c r="H123" s="8" t="s">
        <v>352</v>
      </c>
      <c r="I123" s="9">
        <v>1</v>
      </c>
      <c r="J123" s="9"/>
      <c r="K123" s="9"/>
      <c r="L123" s="9"/>
      <c r="M123" s="9"/>
      <c r="N123" s="9"/>
      <c r="O123" s="9"/>
      <c r="P123" s="8"/>
      <c r="Q123" s="520"/>
      <c r="R123" s="9"/>
      <c r="S123" s="9"/>
      <c r="T123" s="9"/>
      <c r="U123" s="9"/>
      <c r="V123" s="9"/>
      <c r="W123" s="9"/>
      <c r="X123" s="9"/>
      <c r="Y123" s="9"/>
      <c r="Z123" s="9"/>
      <c r="AA123" s="8"/>
      <c r="AB123" s="8"/>
      <c r="AC123" s="314" t="str">
        <f t="shared" si="31"/>
        <v>no</v>
      </c>
      <c r="AD123" s="314">
        <f>COUNTA(first:Last!R123)</f>
        <v>0</v>
      </c>
      <c r="AE123" s="157">
        <f>SUM(first:Last!Z123)</f>
        <v>0</v>
      </c>
      <c r="AF123" s="157" t="str">
        <f t="shared" si="32"/>
        <v>yes</v>
      </c>
      <c r="AG123" s="157">
        <f>COUNTA(Last:end!M123)</f>
        <v>3</v>
      </c>
      <c r="AH123" s="520">
        <f>COUNTA(Last:end!M123)/6</f>
        <v>0.5</v>
      </c>
      <c r="AI123" s="157">
        <f>SUM(Last:end!O123)</f>
        <v>300</v>
      </c>
      <c r="AJ123" s="157">
        <f>MIN(Last:end!L123)</f>
        <v>2022</v>
      </c>
      <c r="AK123" s="157" t="e">
        <f>IF(AND(AJ123&lt;=2023,#REF!="high interest / inadequate offer "),"yes","no")</f>
        <v>#REF!</v>
      </c>
      <c r="AL123" s="157" t="str">
        <f t="shared" si="33"/>
        <v>no</v>
      </c>
      <c r="AM123" s="157"/>
      <c r="AN123" s="157"/>
      <c r="AO123" s="157"/>
      <c r="AP123" s="157">
        <v>1</v>
      </c>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row>
    <row r="124" spans="1:209" s="26" customFormat="1" ht="62.25" customHeight="1">
      <c r="A124" s="8" t="s">
        <v>53</v>
      </c>
      <c r="B124" s="29" t="s">
        <v>336</v>
      </c>
      <c r="C124" s="8" t="s">
        <v>337</v>
      </c>
      <c r="D124" s="8" t="s">
        <v>403</v>
      </c>
      <c r="E124" s="69" t="s">
        <v>404</v>
      </c>
      <c r="F124" s="8"/>
      <c r="G124" s="8" t="s">
        <v>58</v>
      </c>
      <c r="H124" s="8" t="s">
        <v>352</v>
      </c>
      <c r="I124" s="9">
        <v>1</v>
      </c>
      <c r="J124" s="9"/>
      <c r="K124" s="9"/>
      <c r="L124" s="9"/>
      <c r="M124" s="9"/>
      <c r="N124" s="9"/>
      <c r="O124" s="9"/>
      <c r="P124" s="8"/>
      <c r="Q124" s="520"/>
      <c r="R124" s="9"/>
      <c r="S124" s="9"/>
      <c r="T124" s="9"/>
      <c r="U124" s="9"/>
      <c r="V124" s="9"/>
      <c r="W124" s="9"/>
      <c r="X124" s="9"/>
      <c r="Y124" s="9"/>
      <c r="Z124" s="9"/>
      <c r="AA124" s="8"/>
      <c r="AB124" s="8"/>
      <c r="AC124" s="314" t="str">
        <f t="shared" si="31"/>
        <v>no</v>
      </c>
      <c r="AD124" s="314">
        <f>COUNTA(first:Last!R124)</f>
        <v>0</v>
      </c>
      <c r="AE124" s="157">
        <f>SUM(first:Last!Z124)</f>
        <v>0</v>
      </c>
      <c r="AF124" s="157" t="str">
        <f t="shared" si="32"/>
        <v>yes</v>
      </c>
      <c r="AG124" s="157">
        <f>COUNTA(Last:end!M124)</f>
        <v>3</v>
      </c>
      <c r="AH124" s="520">
        <f>COUNTA(Last:end!M124)/6</f>
        <v>0.5</v>
      </c>
      <c r="AI124" s="157">
        <f>SUM(Last:end!O124)</f>
        <v>600</v>
      </c>
      <c r="AJ124" s="157">
        <f>MIN(Last:end!L124)</f>
        <v>2022</v>
      </c>
      <c r="AK124" s="157" t="e">
        <f>IF(AND(AJ124&lt;=2023,#REF!="high interest / inadequate offer "),"yes","no")</f>
        <v>#REF!</v>
      </c>
      <c r="AL124" s="157" t="str">
        <f t="shared" si="33"/>
        <v>no</v>
      </c>
      <c r="AM124" s="157"/>
      <c r="AN124" s="157"/>
      <c r="AO124" s="157"/>
      <c r="AP124" s="157">
        <v>1</v>
      </c>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row>
    <row r="125" spans="1:209" s="26" customFormat="1" ht="62.25" customHeight="1">
      <c r="A125" s="8" t="s">
        <v>53</v>
      </c>
      <c r="B125" s="29" t="s">
        <v>336</v>
      </c>
      <c r="C125" s="8" t="s">
        <v>337</v>
      </c>
      <c r="D125" s="8" t="s">
        <v>405</v>
      </c>
      <c r="E125" s="69" t="s">
        <v>406</v>
      </c>
      <c r="F125" s="8"/>
      <c r="G125" s="8" t="s">
        <v>58</v>
      </c>
      <c r="H125" s="8" t="s">
        <v>352</v>
      </c>
      <c r="I125" s="9">
        <v>1</v>
      </c>
      <c r="J125" s="9"/>
      <c r="K125" s="9"/>
      <c r="L125" s="9"/>
      <c r="M125" s="9"/>
      <c r="N125" s="9"/>
      <c r="O125" s="9"/>
      <c r="P125" s="8"/>
      <c r="Q125" s="520"/>
      <c r="R125" s="9"/>
      <c r="S125" s="9"/>
      <c r="T125" s="9"/>
      <c r="U125" s="9"/>
      <c r="V125" s="9"/>
      <c r="W125" s="9"/>
      <c r="X125" s="9"/>
      <c r="Y125" s="9"/>
      <c r="Z125" s="9"/>
      <c r="AA125" s="8"/>
      <c r="AB125" s="8"/>
      <c r="AC125" s="314" t="str">
        <f t="shared" si="31"/>
        <v>no</v>
      </c>
      <c r="AD125" s="314">
        <f>COUNTA(first:Last!R125)</f>
        <v>0</v>
      </c>
      <c r="AE125" s="157">
        <f>SUM(first:Last!Z125)</f>
        <v>0</v>
      </c>
      <c r="AF125" s="157" t="str">
        <f t="shared" si="32"/>
        <v>yes</v>
      </c>
      <c r="AG125" s="157">
        <f>COUNTA(Last:end!M125)</f>
        <v>1</v>
      </c>
      <c r="AH125" s="520">
        <f>COUNTA(Last:end!M125)/6</f>
        <v>0.16666666666666666</v>
      </c>
      <c r="AI125" s="157">
        <f>SUM(Last:end!O125)</f>
        <v>0</v>
      </c>
      <c r="AJ125" s="157">
        <f>MIN(Last:end!L125)</f>
        <v>2022</v>
      </c>
      <c r="AK125" s="157" t="e">
        <f>IF(AND(AJ125&lt;=2023,#REF!="high interest / inadequate offer "),"yes","no")</f>
        <v>#REF!</v>
      </c>
      <c r="AL125" s="157" t="str">
        <f t="shared" si="33"/>
        <v>no</v>
      </c>
      <c r="AM125" s="157"/>
      <c r="AN125" s="157"/>
      <c r="AO125" s="157"/>
      <c r="AP125" s="157">
        <v>1</v>
      </c>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row>
    <row r="126" spans="1:209" s="26" customFormat="1" ht="62.25" customHeight="1">
      <c r="A126" s="8" t="s">
        <v>53</v>
      </c>
      <c r="B126" s="29" t="s">
        <v>336</v>
      </c>
      <c r="C126" s="8" t="s">
        <v>337</v>
      </c>
      <c r="D126" s="8" t="s">
        <v>407</v>
      </c>
      <c r="E126" s="69" t="s">
        <v>408</v>
      </c>
      <c r="F126" s="8"/>
      <c r="G126" s="8" t="s">
        <v>58</v>
      </c>
      <c r="H126" s="8" t="s">
        <v>352</v>
      </c>
      <c r="I126" s="9">
        <v>1</v>
      </c>
      <c r="J126" s="9"/>
      <c r="K126" s="9"/>
      <c r="L126" s="9"/>
      <c r="M126" s="9"/>
      <c r="N126" s="9"/>
      <c r="O126" s="9"/>
      <c r="P126" s="8"/>
      <c r="Q126" s="520"/>
      <c r="R126" s="9"/>
      <c r="S126" s="9"/>
      <c r="T126" s="9"/>
      <c r="U126" s="9"/>
      <c r="V126" s="9"/>
      <c r="W126" s="9"/>
      <c r="X126" s="9"/>
      <c r="Y126" s="9"/>
      <c r="Z126" s="9"/>
      <c r="AA126" s="8"/>
      <c r="AB126" s="8"/>
      <c r="AC126" s="314" t="str">
        <f t="shared" si="31"/>
        <v>no</v>
      </c>
      <c r="AD126" s="314">
        <f>COUNTA(first:Last!R126)</f>
        <v>0</v>
      </c>
      <c r="AE126" s="157">
        <f>SUM(first:Last!Z126)</f>
        <v>0</v>
      </c>
      <c r="AF126" s="157" t="str">
        <f t="shared" si="32"/>
        <v>yes</v>
      </c>
      <c r="AG126" s="157">
        <f>COUNTA(Last:end!M126)</f>
        <v>2</v>
      </c>
      <c r="AH126" s="520">
        <f>COUNTA(Last:end!M126)/6</f>
        <v>0.33333333333333331</v>
      </c>
      <c r="AI126" s="157">
        <f>SUM(Last:end!O126)</f>
        <v>400</v>
      </c>
      <c r="AJ126" s="157">
        <f>MIN(Last:end!L126)</f>
        <v>2022</v>
      </c>
      <c r="AK126" s="157" t="e">
        <f>IF(AND(AJ126&lt;=2023,#REF!="high interest / inadequate offer "),"yes","no")</f>
        <v>#REF!</v>
      </c>
      <c r="AL126" s="157" t="str">
        <f t="shared" si="33"/>
        <v>no</v>
      </c>
      <c r="AM126" s="157"/>
      <c r="AN126" s="157"/>
      <c r="AO126" s="157"/>
      <c r="AP126" s="157">
        <v>1</v>
      </c>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row>
    <row r="127" spans="1:209" s="26" customFormat="1" ht="62.25" customHeight="1">
      <c r="A127" s="8" t="s">
        <v>53</v>
      </c>
      <c r="B127" s="29" t="s">
        <v>336</v>
      </c>
      <c r="C127" s="8" t="s">
        <v>337</v>
      </c>
      <c r="D127" s="8" t="s">
        <v>409</v>
      </c>
      <c r="E127" s="69" t="s">
        <v>410</v>
      </c>
      <c r="F127" s="8"/>
      <c r="G127" s="8" t="s">
        <v>58</v>
      </c>
      <c r="H127" s="8" t="s">
        <v>352</v>
      </c>
      <c r="I127" s="9">
        <v>1</v>
      </c>
      <c r="J127" s="9"/>
      <c r="K127" s="9"/>
      <c r="L127" s="9"/>
      <c r="M127" s="9"/>
      <c r="N127" s="9"/>
      <c r="O127" s="9"/>
      <c r="P127" s="8"/>
      <c r="Q127" s="520"/>
      <c r="R127" s="9"/>
      <c r="S127" s="9"/>
      <c r="T127" s="9"/>
      <c r="U127" s="9"/>
      <c r="V127" s="9"/>
      <c r="W127" s="9"/>
      <c r="X127" s="9"/>
      <c r="Y127" s="9"/>
      <c r="Z127" s="9"/>
      <c r="AA127" s="8"/>
      <c r="AB127" s="8"/>
      <c r="AC127" s="314" t="str">
        <f t="shared" si="31"/>
        <v>no</v>
      </c>
      <c r="AD127" s="314">
        <f>COUNTA(first:Last!R127)</f>
        <v>0</v>
      </c>
      <c r="AE127" s="157">
        <f>SUM(first:Last!Z127)</f>
        <v>0</v>
      </c>
      <c r="AF127" s="157" t="str">
        <f t="shared" si="32"/>
        <v>yes</v>
      </c>
      <c r="AG127" s="157">
        <f>COUNTA(Last:end!M127)</f>
        <v>2</v>
      </c>
      <c r="AH127" s="520">
        <f>COUNTA(Last:end!M127)/6</f>
        <v>0.33333333333333331</v>
      </c>
      <c r="AI127" s="157">
        <f>SUM(Last:end!O127)</f>
        <v>0</v>
      </c>
      <c r="AJ127" s="157">
        <f>MIN(Last:end!L127)</f>
        <v>2022</v>
      </c>
      <c r="AK127" s="157" t="e">
        <f>IF(AND(AJ127&lt;=2023,#REF!="high interest / inadequate offer "),"yes","no")</f>
        <v>#REF!</v>
      </c>
      <c r="AL127" s="157" t="str">
        <f t="shared" si="33"/>
        <v>no</v>
      </c>
      <c r="AM127" s="157"/>
      <c r="AN127" s="157"/>
      <c r="AO127" s="157"/>
      <c r="AP127" s="157">
        <v>1</v>
      </c>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row>
    <row r="128" spans="1:209" s="26" customFormat="1" ht="62.25" customHeight="1">
      <c r="A128" s="8" t="s">
        <v>53</v>
      </c>
      <c r="B128" s="29" t="s">
        <v>336</v>
      </c>
      <c r="C128" s="8" t="s">
        <v>337</v>
      </c>
      <c r="D128" s="8" t="s">
        <v>411</v>
      </c>
      <c r="E128" s="69" t="s">
        <v>412</v>
      </c>
      <c r="F128" s="8"/>
      <c r="G128" s="8" t="s">
        <v>58</v>
      </c>
      <c r="H128" s="8" t="s">
        <v>352</v>
      </c>
      <c r="I128" s="9">
        <v>1</v>
      </c>
      <c r="J128" s="9"/>
      <c r="K128" s="9"/>
      <c r="L128" s="9"/>
      <c r="M128" s="9"/>
      <c r="N128" s="9"/>
      <c r="O128" s="9"/>
      <c r="P128" s="8"/>
      <c r="Q128" s="520"/>
      <c r="R128" s="9"/>
      <c r="S128" s="9"/>
      <c r="T128" s="9"/>
      <c r="U128" s="9"/>
      <c r="V128" s="9"/>
      <c r="W128" s="9"/>
      <c r="X128" s="9"/>
      <c r="Y128" s="9"/>
      <c r="Z128" s="9"/>
      <c r="AA128" s="8"/>
      <c r="AB128" s="8"/>
      <c r="AC128" s="314" t="str">
        <f t="shared" si="31"/>
        <v>no</v>
      </c>
      <c r="AD128" s="314">
        <f>COUNTA(first:Last!R128)</f>
        <v>0</v>
      </c>
      <c r="AE128" s="157">
        <f>SUM(first:Last!Z128)</f>
        <v>0</v>
      </c>
      <c r="AF128" s="157" t="str">
        <f t="shared" si="32"/>
        <v>yes</v>
      </c>
      <c r="AG128" s="157">
        <f>COUNTA(Last:end!M128)</f>
        <v>2</v>
      </c>
      <c r="AH128" s="520">
        <f>COUNTA(Last:end!M128)/6</f>
        <v>0.33333333333333331</v>
      </c>
      <c r="AI128" s="157">
        <f>SUM(Last:end!O128)</f>
        <v>0</v>
      </c>
      <c r="AJ128" s="157">
        <f>MIN(Last:end!L128)</f>
        <v>2022</v>
      </c>
      <c r="AK128" s="157" t="e">
        <f>IF(AND(AJ128&lt;=2023,#REF!="high interest / inadequate offer "),"yes","no")</f>
        <v>#REF!</v>
      </c>
      <c r="AL128" s="157" t="str">
        <f t="shared" si="33"/>
        <v>no</v>
      </c>
      <c r="AM128" s="157"/>
      <c r="AN128" s="157"/>
      <c r="AO128" s="157"/>
      <c r="AP128" s="157">
        <v>1</v>
      </c>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row>
    <row r="129" spans="1:209" s="26" customFormat="1" ht="62.25" customHeight="1">
      <c r="A129" s="8" t="s">
        <v>53</v>
      </c>
      <c r="B129" s="29" t="s">
        <v>336</v>
      </c>
      <c r="C129" s="8" t="s">
        <v>413</v>
      </c>
      <c r="D129" s="8" t="s">
        <v>414</v>
      </c>
      <c r="E129" s="8" t="s">
        <v>415</v>
      </c>
      <c r="F129" s="8"/>
      <c r="G129" s="8" t="s">
        <v>62</v>
      </c>
      <c r="H129" s="8" t="s">
        <v>416</v>
      </c>
      <c r="I129" s="8">
        <v>6</v>
      </c>
      <c r="J129" s="8"/>
      <c r="K129" s="8"/>
      <c r="L129" s="8"/>
      <c r="M129" s="8"/>
      <c r="N129" s="8"/>
      <c r="O129" s="8"/>
      <c r="P129" s="8"/>
      <c r="Q129" s="157"/>
      <c r="R129" s="8"/>
      <c r="S129" s="8"/>
      <c r="T129" s="8"/>
      <c r="U129" s="8"/>
      <c r="V129" s="8"/>
      <c r="W129" s="8"/>
      <c r="X129" s="8"/>
      <c r="Y129" s="8"/>
      <c r="Z129" s="8"/>
      <c r="AA129" s="8"/>
      <c r="AB129" s="8"/>
      <c r="AC129" s="314" t="str">
        <f t="shared" si="31"/>
        <v>yes</v>
      </c>
      <c r="AD129" s="314">
        <f>COUNTA(first:Last!R129)</f>
        <v>1</v>
      </c>
      <c r="AE129" s="157">
        <f>SUM(first:Last!Z129)</f>
        <v>7000</v>
      </c>
      <c r="AF129" s="157" t="str">
        <f t="shared" si="32"/>
        <v>yes</v>
      </c>
      <c r="AG129" s="157">
        <f>COUNTA(Last:end!M129)</f>
        <v>2</v>
      </c>
      <c r="AH129" s="520">
        <f>COUNTA(Last:end!M129)/6</f>
        <v>0.33333333333333331</v>
      </c>
      <c r="AI129" s="157">
        <f>SUM(Last:end!O129)</f>
        <v>0</v>
      </c>
      <c r="AJ129" s="157">
        <f>MIN(Last:end!L129)</f>
        <v>2023</v>
      </c>
      <c r="AK129" s="157" t="e">
        <f>IF(AND(AJ129&lt;=2023,#REF!="high interest / inadequate offer "),"yes","no")</f>
        <v>#REF!</v>
      </c>
      <c r="AL129" s="157" t="str">
        <f t="shared" si="33"/>
        <v>no</v>
      </c>
      <c r="AM129" s="157"/>
      <c r="AN129" s="157"/>
      <c r="AO129" s="157"/>
      <c r="AP129" s="157">
        <v>1</v>
      </c>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row>
    <row r="130" spans="1:209" s="26" customFormat="1" ht="62.25" customHeight="1">
      <c r="A130" s="8" t="s">
        <v>53</v>
      </c>
      <c r="B130" s="29" t="s">
        <v>336</v>
      </c>
      <c r="C130" s="8" t="s">
        <v>413</v>
      </c>
      <c r="D130" s="8" t="s">
        <v>417</v>
      </c>
      <c r="E130" s="8" t="s">
        <v>418</v>
      </c>
      <c r="F130" s="8"/>
      <c r="G130" s="8" t="s">
        <v>62</v>
      </c>
      <c r="H130" s="8" t="s">
        <v>419</v>
      </c>
      <c r="I130" s="8" t="s">
        <v>420</v>
      </c>
      <c r="J130" s="8"/>
      <c r="K130" s="8"/>
      <c r="L130" s="8"/>
      <c r="M130" s="8"/>
      <c r="N130" s="8"/>
      <c r="O130" s="8"/>
      <c r="P130" s="8"/>
      <c r="Q130" s="157"/>
      <c r="R130" s="8"/>
      <c r="S130" s="8"/>
      <c r="T130" s="8"/>
      <c r="U130" s="8"/>
      <c r="V130" s="8"/>
      <c r="W130" s="8"/>
      <c r="X130" s="8"/>
      <c r="Y130" s="8"/>
      <c r="Z130" s="8"/>
      <c r="AA130" s="8"/>
      <c r="AB130" s="8"/>
      <c r="AC130" s="314" t="str">
        <f t="shared" si="31"/>
        <v>no</v>
      </c>
      <c r="AD130" s="314">
        <f>COUNTA(first:Last!R130)</f>
        <v>0</v>
      </c>
      <c r="AE130" s="157">
        <f>SUM(first:Last!Z130)</f>
        <v>0</v>
      </c>
      <c r="AF130" s="157" t="str">
        <f t="shared" si="32"/>
        <v>yes</v>
      </c>
      <c r="AG130" s="157">
        <f>COUNTA(Last:end!M130)</f>
        <v>2</v>
      </c>
      <c r="AH130" s="520">
        <f>COUNTA(Last:end!M130)/6</f>
        <v>0.33333333333333331</v>
      </c>
      <c r="AI130" s="157">
        <f>SUM(Last:end!O130)</f>
        <v>0</v>
      </c>
      <c r="AJ130" s="157">
        <f>MIN(Last:end!L130)</f>
        <v>2023</v>
      </c>
      <c r="AK130" s="157" t="e">
        <f>IF(AND(AJ130&lt;=2023,#REF!="high interest / inadequate offer "),"yes","no")</f>
        <v>#REF!</v>
      </c>
      <c r="AL130" s="157" t="str">
        <f t="shared" si="33"/>
        <v>no</v>
      </c>
      <c r="AM130" s="157"/>
      <c r="AN130" s="157"/>
      <c r="AO130" s="157"/>
      <c r="AP130" s="157">
        <v>1</v>
      </c>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row>
    <row r="131" spans="1:209" s="26" customFormat="1" ht="62.25" customHeight="1">
      <c r="A131" s="8" t="s">
        <v>53</v>
      </c>
      <c r="B131" s="29" t="s">
        <v>336</v>
      </c>
      <c r="C131" s="8" t="s">
        <v>413</v>
      </c>
      <c r="D131" s="8" t="s">
        <v>421</v>
      </c>
      <c r="E131" s="8" t="s">
        <v>422</v>
      </c>
      <c r="F131" s="8"/>
      <c r="G131" s="20" t="s">
        <v>58</v>
      </c>
      <c r="H131" s="20"/>
      <c r="I131" s="22"/>
      <c r="J131" s="20"/>
      <c r="K131" s="20"/>
      <c r="L131" s="20"/>
      <c r="M131" s="20"/>
      <c r="N131" s="20"/>
      <c r="O131" s="20"/>
      <c r="P131" s="20"/>
      <c r="Q131" s="157"/>
      <c r="R131" s="20"/>
      <c r="S131" s="20"/>
      <c r="T131" s="20"/>
      <c r="U131" s="20"/>
      <c r="V131" s="20"/>
      <c r="W131" s="20"/>
      <c r="X131" s="20"/>
      <c r="Y131" s="20"/>
      <c r="Z131" s="20"/>
      <c r="AA131" s="20"/>
      <c r="AB131" s="20"/>
      <c r="AC131" s="65"/>
      <c r="AD131" s="65"/>
      <c r="AE131" s="65"/>
      <c r="AF131" s="65"/>
      <c r="AG131" s="20">
        <f>COUNTA(Last:end!M131)</f>
        <v>0</v>
      </c>
      <c r="AH131" s="22">
        <f>COUNTA(Last:end!M131)/6</f>
        <v>0</v>
      </c>
      <c r="AI131" s="65"/>
      <c r="AJ131" s="20">
        <f>MIN(Last:end!L131)</f>
        <v>0</v>
      </c>
      <c r="AK131" s="20" t="e">
        <f>IF(AND(AJ131&lt;=2023,#REF!="high interest / inadequate offer "),"yes","no")</f>
        <v>#REF!</v>
      </c>
      <c r="AL131" s="20" t="str">
        <f t="shared" si="33"/>
        <v>no</v>
      </c>
      <c r="AM131" s="157"/>
      <c r="AN131" s="157"/>
      <c r="AO131" s="157"/>
      <c r="AP131" s="157">
        <v>0</v>
      </c>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row>
    <row r="132" spans="1:209" s="26" customFormat="1" ht="62.25" customHeight="1">
      <c r="A132" s="8" t="s">
        <v>53</v>
      </c>
      <c r="B132" s="29" t="s">
        <v>336</v>
      </c>
      <c r="C132" s="8" t="s">
        <v>413</v>
      </c>
      <c r="D132" s="8" t="s">
        <v>423</v>
      </c>
      <c r="E132" s="69" t="s">
        <v>424</v>
      </c>
      <c r="F132" s="8"/>
      <c r="G132" s="8" t="s">
        <v>58</v>
      </c>
      <c r="H132" s="8" t="s">
        <v>425</v>
      </c>
      <c r="I132" s="8" t="s">
        <v>210</v>
      </c>
      <c r="J132" s="8"/>
      <c r="K132" s="8"/>
      <c r="L132" s="8"/>
      <c r="M132" s="8"/>
      <c r="N132" s="8"/>
      <c r="O132" s="8"/>
      <c r="P132" s="8"/>
      <c r="Q132" s="157"/>
      <c r="R132" s="8"/>
      <c r="S132" s="8"/>
      <c r="T132" s="8"/>
      <c r="U132" s="8"/>
      <c r="V132" s="8"/>
      <c r="W132" s="8"/>
      <c r="X132" s="8"/>
      <c r="Y132" s="8"/>
      <c r="Z132" s="8"/>
      <c r="AA132" s="8"/>
      <c r="AB132" s="8"/>
      <c r="AC132" s="314" t="str">
        <f t="shared" ref="AC132:AC134" si="34">IF(AD132&gt;0,"yes", "no")</f>
        <v>no</v>
      </c>
      <c r="AD132" s="314">
        <f>COUNTA(first:Last!R132)</f>
        <v>0</v>
      </c>
      <c r="AE132" s="157">
        <f>SUM(first:Last!Z132)</f>
        <v>0</v>
      </c>
      <c r="AF132" s="157" t="str">
        <f t="shared" ref="AF132:AF134" si="35">IF(AH132&gt;0,"yes", "no")</f>
        <v>yes</v>
      </c>
      <c r="AG132" s="157">
        <f>COUNTA(Last:end!M132)</f>
        <v>2</v>
      </c>
      <c r="AH132" s="520">
        <f>COUNTA(Last:end!M132)/6</f>
        <v>0.33333333333333331</v>
      </c>
      <c r="AI132" s="157">
        <f>SUM(Last:end!O132)</f>
        <v>12000</v>
      </c>
      <c r="AJ132" s="157">
        <f>MIN(Last:end!L132)</f>
        <v>0</v>
      </c>
      <c r="AK132" s="157" t="e">
        <f>IF(AND(AJ132&lt;=2023,#REF!="high interest / inadequate offer "),"yes","no")</f>
        <v>#REF!</v>
      </c>
      <c r="AL132" s="157" t="str">
        <f t="shared" ref="AL132:AL154" si="36">IF(AD132&gt;1,"yes", "no")</f>
        <v>no</v>
      </c>
      <c r="AM132" s="157"/>
      <c r="AN132" s="157"/>
      <c r="AO132" s="157"/>
      <c r="AP132" s="157">
        <v>1</v>
      </c>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row>
    <row r="133" spans="1:209" s="26" customFormat="1" ht="62.25" customHeight="1">
      <c r="A133" s="8" t="s">
        <v>53</v>
      </c>
      <c r="B133" s="29" t="s">
        <v>336</v>
      </c>
      <c r="C133" s="8" t="s">
        <v>413</v>
      </c>
      <c r="D133" s="8" t="s">
        <v>426</v>
      </c>
      <c r="E133" s="69" t="s">
        <v>427</v>
      </c>
      <c r="F133" s="8"/>
      <c r="G133" s="8" t="s">
        <v>58</v>
      </c>
      <c r="H133" s="8" t="s">
        <v>428</v>
      </c>
      <c r="I133" s="8" t="s">
        <v>210</v>
      </c>
      <c r="J133" s="8"/>
      <c r="K133" s="8"/>
      <c r="L133" s="8"/>
      <c r="M133" s="8"/>
      <c r="N133" s="8"/>
      <c r="O133" s="8"/>
      <c r="P133" s="8"/>
      <c r="Q133" s="157"/>
      <c r="R133" s="8"/>
      <c r="S133" s="8"/>
      <c r="T133" s="8"/>
      <c r="U133" s="8"/>
      <c r="V133" s="8"/>
      <c r="W133" s="8"/>
      <c r="X133" s="8"/>
      <c r="Y133" s="8"/>
      <c r="Z133" s="8"/>
      <c r="AA133" s="8"/>
      <c r="AB133" s="8"/>
      <c r="AC133" s="314" t="str">
        <f t="shared" si="34"/>
        <v>no</v>
      </c>
      <c r="AD133" s="314">
        <f>COUNTA(first:Last!R133)</f>
        <v>0</v>
      </c>
      <c r="AE133" s="157">
        <f>SUM(first:Last!Z133)</f>
        <v>0</v>
      </c>
      <c r="AF133" s="157" t="str">
        <f t="shared" si="35"/>
        <v>yes</v>
      </c>
      <c r="AG133" s="157">
        <f>COUNTA(Last:end!M133)</f>
        <v>3</v>
      </c>
      <c r="AH133" s="520">
        <f>COUNTA(Last:end!M133)/6</f>
        <v>0.5</v>
      </c>
      <c r="AI133" s="157">
        <f>SUM(Last:end!O133)</f>
        <v>0</v>
      </c>
      <c r="AJ133" s="157">
        <f>MIN(Last:end!L133)</f>
        <v>2023</v>
      </c>
      <c r="AK133" s="157" t="e">
        <f>IF(AND(AJ133&lt;=2023,#REF!="high interest / inadequate offer "),"yes","no")</f>
        <v>#REF!</v>
      </c>
      <c r="AL133" s="157" t="str">
        <f t="shared" si="36"/>
        <v>no</v>
      </c>
      <c r="AM133" s="157"/>
      <c r="AN133" s="157"/>
      <c r="AO133" s="157"/>
      <c r="AP133" s="157">
        <v>1</v>
      </c>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row>
    <row r="134" spans="1:209" s="26" customFormat="1" ht="78.75">
      <c r="A134" s="8" t="s">
        <v>53</v>
      </c>
      <c r="B134" s="29" t="s">
        <v>336</v>
      </c>
      <c r="C134" s="8" t="s">
        <v>429</v>
      </c>
      <c r="D134" s="8" t="s">
        <v>430</v>
      </c>
      <c r="E134" s="8" t="s">
        <v>431</v>
      </c>
      <c r="F134" s="8"/>
      <c r="G134" s="8" t="s">
        <v>71</v>
      </c>
      <c r="H134" s="8" t="s">
        <v>432</v>
      </c>
      <c r="I134" s="8">
        <v>2030</v>
      </c>
      <c r="J134" s="8"/>
      <c r="K134" s="8"/>
      <c r="L134" s="8"/>
      <c r="M134" s="8"/>
      <c r="N134" s="8"/>
      <c r="O134" s="8"/>
      <c r="P134" s="8"/>
      <c r="Q134" s="157"/>
      <c r="R134" s="8"/>
      <c r="S134" s="8"/>
      <c r="T134" s="8"/>
      <c r="U134" s="8"/>
      <c r="V134" s="8"/>
      <c r="W134" s="8"/>
      <c r="X134" s="8"/>
      <c r="Y134" s="8"/>
      <c r="Z134" s="8"/>
      <c r="AA134" s="8"/>
      <c r="AB134" s="8"/>
      <c r="AC134" s="314" t="str">
        <f t="shared" si="34"/>
        <v>yes</v>
      </c>
      <c r="AD134" s="314">
        <f>COUNTA(first:Last!R134)</f>
        <v>1</v>
      </c>
      <c r="AE134" s="157">
        <f>SUM(first:Last!Z134)</f>
        <v>0</v>
      </c>
      <c r="AF134" s="157" t="str">
        <f t="shared" si="35"/>
        <v>no</v>
      </c>
      <c r="AG134" s="157">
        <f>COUNTA(Last:end!M134)</f>
        <v>0</v>
      </c>
      <c r="AH134" s="520">
        <f>COUNTA(Last:end!M134)/6</f>
        <v>0</v>
      </c>
      <c r="AI134" s="157">
        <f>SUM(Last:end!O134)</f>
        <v>0</v>
      </c>
      <c r="AJ134" s="157">
        <f>MIN(Last:end!L134)</f>
        <v>0</v>
      </c>
      <c r="AK134" s="157" t="e">
        <f>IF(AND(AJ134&lt;=2023,#REF!="high interest / inadequate offer "),"yes","no")</f>
        <v>#REF!</v>
      </c>
      <c r="AL134" s="157" t="str">
        <f t="shared" si="36"/>
        <v>no</v>
      </c>
      <c r="AM134" s="157"/>
      <c r="AN134" s="157"/>
      <c r="AO134" s="157"/>
      <c r="AP134" s="157">
        <v>1</v>
      </c>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row>
    <row r="135" spans="1:209" s="26" customFormat="1" ht="62.25" customHeight="1">
      <c r="A135" s="8" t="s">
        <v>53</v>
      </c>
      <c r="B135" s="29" t="s">
        <v>336</v>
      </c>
      <c r="C135" s="8" t="s">
        <v>429</v>
      </c>
      <c r="D135" s="8" t="s">
        <v>433</v>
      </c>
      <c r="E135" s="8" t="s">
        <v>434</v>
      </c>
      <c r="F135" s="8"/>
      <c r="G135" s="20" t="s">
        <v>58</v>
      </c>
      <c r="H135" s="20" t="s">
        <v>435</v>
      </c>
      <c r="I135" s="22" t="s">
        <v>210</v>
      </c>
      <c r="J135" s="20"/>
      <c r="K135" s="20"/>
      <c r="L135" s="20"/>
      <c r="M135" s="20"/>
      <c r="N135" s="20"/>
      <c r="O135" s="20"/>
      <c r="P135" s="20"/>
      <c r="Q135" s="157"/>
      <c r="R135" s="20"/>
      <c r="S135" s="20"/>
      <c r="T135" s="20"/>
      <c r="U135" s="20"/>
      <c r="V135" s="20"/>
      <c r="W135" s="20"/>
      <c r="X135" s="20"/>
      <c r="Y135" s="20"/>
      <c r="Z135" s="20"/>
      <c r="AA135" s="20"/>
      <c r="AB135" s="20"/>
      <c r="AC135" s="65"/>
      <c r="AD135" s="65"/>
      <c r="AE135" s="65"/>
      <c r="AF135" s="65"/>
      <c r="AG135" s="20">
        <f>COUNTA(Last:end!M135)</f>
        <v>0</v>
      </c>
      <c r="AH135" s="22">
        <f>COUNTA(Last:end!M135)/6</f>
        <v>0</v>
      </c>
      <c r="AI135" s="65"/>
      <c r="AJ135" s="20">
        <f>MIN(Last:end!L135)</f>
        <v>0</v>
      </c>
      <c r="AK135" s="20" t="e">
        <f>IF(AND(AJ135&lt;=2023,#REF!="high interest / inadequate offer "),"yes","no")</f>
        <v>#REF!</v>
      </c>
      <c r="AL135" s="20" t="str">
        <f t="shared" si="36"/>
        <v>no</v>
      </c>
      <c r="AM135" s="157"/>
      <c r="AN135" s="157"/>
      <c r="AO135" s="157"/>
      <c r="AP135" s="157">
        <v>0</v>
      </c>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row>
    <row r="136" spans="1:209" s="26" customFormat="1" ht="62.25" customHeight="1">
      <c r="A136" s="8" t="s">
        <v>53</v>
      </c>
      <c r="B136" s="29" t="s">
        <v>336</v>
      </c>
      <c r="C136" s="8" t="s">
        <v>429</v>
      </c>
      <c r="D136" s="8" t="s">
        <v>436</v>
      </c>
      <c r="E136" s="69" t="s">
        <v>437</v>
      </c>
      <c r="F136" s="8"/>
      <c r="G136" s="8" t="s">
        <v>58</v>
      </c>
      <c r="H136" s="8" t="s">
        <v>435</v>
      </c>
      <c r="I136" s="8" t="s">
        <v>210</v>
      </c>
      <c r="J136" s="8"/>
      <c r="K136" s="8"/>
      <c r="L136" s="8"/>
      <c r="M136" s="8"/>
      <c r="N136" s="8"/>
      <c r="O136" s="8"/>
      <c r="P136" s="8"/>
      <c r="Q136" s="157"/>
      <c r="R136" s="8"/>
      <c r="S136" s="8"/>
      <c r="T136" s="8"/>
      <c r="U136" s="8"/>
      <c r="V136" s="8"/>
      <c r="W136" s="8"/>
      <c r="X136" s="8"/>
      <c r="Y136" s="8"/>
      <c r="Z136" s="8"/>
      <c r="AA136" s="8"/>
      <c r="AB136" s="8"/>
      <c r="AC136" s="314" t="str">
        <f t="shared" ref="AC136:AC141" si="37">IF(AD136&gt;0,"yes", "no")</f>
        <v>no</v>
      </c>
      <c r="AD136" s="314">
        <f>COUNTA(first:Last!R136)</f>
        <v>0</v>
      </c>
      <c r="AE136" s="157">
        <f>SUM(first:Last!Z136)</f>
        <v>0</v>
      </c>
      <c r="AF136" s="157" t="str">
        <f t="shared" ref="AF136:AF141" si="38">IF(AH136&gt;0,"yes", "no")</f>
        <v>yes</v>
      </c>
      <c r="AG136" s="157">
        <f>COUNTA(Last:end!M136)</f>
        <v>1</v>
      </c>
      <c r="AH136" s="520">
        <f>COUNTA(Last:end!M136)/6</f>
        <v>0.16666666666666666</v>
      </c>
      <c r="AI136" s="157">
        <f>SUM(Last:end!O136)</f>
        <v>0</v>
      </c>
      <c r="AJ136" s="157">
        <f>MIN(Last:end!L136)</f>
        <v>0</v>
      </c>
      <c r="AK136" s="157" t="e">
        <f>IF(AND(AJ136&lt;=2023,#REF!="high interest / inadequate offer "),"yes","no")</f>
        <v>#REF!</v>
      </c>
      <c r="AL136" s="157" t="str">
        <f t="shared" si="36"/>
        <v>no</v>
      </c>
      <c r="AM136" s="157"/>
      <c r="AN136" s="157"/>
      <c r="AO136" s="157"/>
      <c r="AP136" s="157">
        <v>1</v>
      </c>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row>
    <row r="137" spans="1:209" s="26" customFormat="1" ht="62.25" customHeight="1">
      <c r="A137" s="8" t="s">
        <v>53</v>
      </c>
      <c r="B137" s="29" t="s">
        <v>336</v>
      </c>
      <c r="C137" s="8" t="s">
        <v>429</v>
      </c>
      <c r="D137" s="8" t="s">
        <v>438</v>
      </c>
      <c r="E137" s="69" t="s">
        <v>439</v>
      </c>
      <c r="F137" s="8"/>
      <c r="G137" s="8" t="s">
        <v>58</v>
      </c>
      <c r="H137" s="8" t="s">
        <v>435</v>
      </c>
      <c r="I137" s="8" t="s">
        <v>210</v>
      </c>
      <c r="J137" s="8"/>
      <c r="K137" s="8"/>
      <c r="L137" s="8"/>
      <c r="M137" s="8"/>
      <c r="N137" s="8"/>
      <c r="O137" s="8"/>
      <c r="P137" s="8"/>
      <c r="Q137" s="157"/>
      <c r="R137" s="8"/>
      <c r="S137" s="8"/>
      <c r="T137" s="8"/>
      <c r="U137" s="8"/>
      <c r="V137" s="8"/>
      <c r="W137" s="8"/>
      <c r="X137" s="8"/>
      <c r="Y137" s="8"/>
      <c r="Z137" s="8"/>
      <c r="AA137" s="8"/>
      <c r="AB137" s="8"/>
      <c r="AC137" s="314" t="str">
        <f t="shared" si="37"/>
        <v>no</v>
      </c>
      <c r="AD137" s="314">
        <f>COUNTA(first:Last!R137)</f>
        <v>0</v>
      </c>
      <c r="AE137" s="157">
        <f>SUM(first:Last!Z137)</f>
        <v>0</v>
      </c>
      <c r="AF137" s="157" t="str">
        <f t="shared" si="38"/>
        <v>yes</v>
      </c>
      <c r="AG137" s="157">
        <f>COUNTA(Last:end!M137)</f>
        <v>1</v>
      </c>
      <c r="AH137" s="520">
        <f>COUNTA(Last:end!M137)/6</f>
        <v>0.16666666666666666</v>
      </c>
      <c r="AI137" s="157">
        <f>SUM(Last:end!O137)</f>
        <v>0</v>
      </c>
      <c r="AJ137" s="157">
        <f>MIN(Last:end!L137)</f>
        <v>0</v>
      </c>
      <c r="AK137" s="157" t="e">
        <f>IF(AND(AJ137&lt;=2023,#REF!="high interest / inadequate offer "),"yes","no")</f>
        <v>#REF!</v>
      </c>
      <c r="AL137" s="157" t="str">
        <f t="shared" si="36"/>
        <v>no</v>
      </c>
      <c r="AM137" s="157"/>
      <c r="AN137" s="157"/>
      <c r="AO137" s="157"/>
      <c r="AP137" s="157">
        <v>1</v>
      </c>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row>
    <row r="138" spans="1:209" s="26" customFormat="1" ht="62.25" customHeight="1">
      <c r="A138" s="8" t="s">
        <v>53</v>
      </c>
      <c r="B138" s="29" t="s">
        <v>336</v>
      </c>
      <c r="C138" s="8" t="s">
        <v>429</v>
      </c>
      <c r="D138" s="8" t="s">
        <v>440</v>
      </c>
      <c r="E138" s="69" t="s">
        <v>441</v>
      </c>
      <c r="F138" s="8"/>
      <c r="G138" s="8" t="s">
        <v>58</v>
      </c>
      <c r="H138" s="8" t="s">
        <v>435</v>
      </c>
      <c r="I138" s="8" t="s">
        <v>210</v>
      </c>
      <c r="J138" s="8"/>
      <c r="K138" s="8"/>
      <c r="L138" s="8"/>
      <c r="M138" s="8"/>
      <c r="N138" s="8"/>
      <c r="O138" s="8"/>
      <c r="P138" s="8"/>
      <c r="Q138" s="157"/>
      <c r="R138" s="8"/>
      <c r="S138" s="8"/>
      <c r="T138" s="8"/>
      <c r="U138" s="8"/>
      <c r="V138" s="8"/>
      <c r="W138" s="8"/>
      <c r="X138" s="8"/>
      <c r="Y138" s="8"/>
      <c r="Z138" s="8"/>
      <c r="AA138" s="8"/>
      <c r="AB138" s="8"/>
      <c r="AC138" s="314" t="str">
        <f t="shared" si="37"/>
        <v>no</v>
      </c>
      <c r="AD138" s="314">
        <f>COUNTA(first:Last!R138)</f>
        <v>0</v>
      </c>
      <c r="AE138" s="157">
        <f>SUM(first:Last!Z138)</f>
        <v>0</v>
      </c>
      <c r="AF138" s="157" t="str">
        <f t="shared" si="38"/>
        <v>yes</v>
      </c>
      <c r="AG138" s="157">
        <f>COUNTA(Last:end!M138)</f>
        <v>1</v>
      </c>
      <c r="AH138" s="520">
        <f>COUNTA(Last:end!M138)/6</f>
        <v>0.16666666666666666</v>
      </c>
      <c r="AI138" s="157">
        <f>SUM(Last:end!O138)</f>
        <v>0</v>
      </c>
      <c r="AJ138" s="157">
        <f>MIN(Last:end!L138)</f>
        <v>0</v>
      </c>
      <c r="AK138" s="157" t="e">
        <f>IF(AND(AJ138&lt;=2023,#REF!="high interest / inadequate offer "),"yes","no")</f>
        <v>#REF!</v>
      </c>
      <c r="AL138" s="157" t="str">
        <f t="shared" si="36"/>
        <v>no</v>
      </c>
      <c r="AM138" s="157"/>
      <c r="AN138" s="157"/>
      <c r="AO138" s="157"/>
      <c r="AP138" s="157">
        <v>1</v>
      </c>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row>
    <row r="139" spans="1:209" s="26" customFormat="1" ht="62.25" customHeight="1">
      <c r="A139" s="8" t="s">
        <v>53</v>
      </c>
      <c r="B139" s="29" t="s">
        <v>336</v>
      </c>
      <c r="C139" s="8" t="s">
        <v>429</v>
      </c>
      <c r="D139" s="8" t="s">
        <v>442</v>
      </c>
      <c r="E139" s="69" t="s">
        <v>443</v>
      </c>
      <c r="F139" s="8"/>
      <c r="G139" s="8" t="s">
        <v>58</v>
      </c>
      <c r="H139" s="8" t="s">
        <v>435</v>
      </c>
      <c r="I139" s="8" t="s">
        <v>210</v>
      </c>
      <c r="J139" s="8"/>
      <c r="K139" s="8"/>
      <c r="L139" s="8"/>
      <c r="M139" s="8"/>
      <c r="N139" s="8"/>
      <c r="O139" s="8"/>
      <c r="P139" s="8"/>
      <c r="Q139" s="157"/>
      <c r="R139" s="8"/>
      <c r="S139" s="8"/>
      <c r="T139" s="8"/>
      <c r="U139" s="8"/>
      <c r="V139" s="8"/>
      <c r="W139" s="8"/>
      <c r="X139" s="8"/>
      <c r="Y139" s="8"/>
      <c r="Z139" s="8"/>
      <c r="AA139" s="8"/>
      <c r="AB139" s="8"/>
      <c r="AC139" s="314" t="str">
        <f t="shared" si="37"/>
        <v>no</v>
      </c>
      <c r="AD139" s="314">
        <f>COUNTA(first:Last!R139)</f>
        <v>0</v>
      </c>
      <c r="AE139" s="157">
        <f>SUM(first:Last!Z139)</f>
        <v>0</v>
      </c>
      <c r="AF139" s="157" t="str">
        <f t="shared" si="38"/>
        <v>yes</v>
      </c>
      <c r="AG139" s="157">
        <f>COUNTA(Last:end!M139)</f>
        <v>1</v>
      </c>
      <c r="AH139" s="520">
        <f>COUNTA(Last:end!M139)/6</f>
        <v>0.16666666666666666</v>
      </c>
      <c r="AI139" s="157">
        <f>SUM(Last:end!O139)</f>
        <v>0</v>
      </c>
      <c r="AJ139" s="157">
        <f>MIN(Last:end!L139)</f>
        <v>0</v>
      </c>
      <c r="AK139" s="157" t="e">
        <f>IF(AND(AJ139&lt;=2023,#REF!="high interest / inadequate offer "),"yes","no")</f>
        <v>#REF!</v>
      </c>
      <c r="AL139" s="157" t="str">
        <f t="shared" si="36"/>
        <v>no</v>
      </c>
      <c r="AM139" s="157"/>
      <c r="AN139" s="157"/>
      <c r="AO139" s="157"/>
      <c r="AP139" s="157">
        <v>1</v>
      </c>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row>
    <row r="140" spans="1:209" s="26" customFormat="1" ht="62.25" customHeight="1">
      <c r="A140" s="8" t="s">
        <v>53</v>
      </c>
      <c r="B140" s="29" t="s">
        <v>336</v>
      </c>
      <c r="C140" s="8" t="s">
        <v>429</v>
      </c>
      <c r="D140" s="8" t="s">
        <v>444</v>
      </c>
      <c r="E140" s="69" t="s">
        <v>445</v>
      </c>
      <c r="F140" s="8"/>
      <c r="G140" s="8" t="s">
        <v>58</v>
      </c>
      <c r="H140" s="8" t="s">
        <v>435</v>
      </c>
      <c r="I140" s="8" t="s">
        <v>210</v>
      </c>
      <c r="J140" s="8"/>
      <c r="K140" s="8"/>
      <c r="L140" s="8"/>
      <c r="M140" s="8"/>
      <c r="N140" s="8"/>
      <c r="O140" s="8"/>
      <c r="P140" s="8"/>
      <c r="Q140" s="157"/>
      <c r="R140" s="8"/>
      <c r="S140" s="8"/>
      <c r="T140" s="8"/>
      <c r="U140" s="8"/>
      <c r="V140" s="8"/>
      <c r="W140" s="8"/>
      <c r="X140" s="8"/>
      <c r="Y140" s="8"/>
      <c r="Z140" s="8"/>
      <c r="AA140" s="8"/>
      <c r="AB140" s="8"/>
      <c r="AC140" s="314" t="str">
        <f t="shared" si="37"/>
        <v>no</v>
      </c>
      <c r="AD140" s="314">
        <f>COUNTA(first:Last!R140)</f>
        <v>0</v>
      </c>
      <c r="AE140" s="157">
        <f>SUM(first:Last!Z140)</f>
        <v>0</v>
      </c>
      <c r="AF140" s="157" t="str">
        <f t="shared" si="38"/>
        <v>yes</v>
      </c>
      <c r="AG140" s="157">
        <f>COUNTA(Last:end!M140)</f>
        <v>2</v>
      </c>
      <c r="AH140" s="520">
        <f>COUNTA(Last:end!M140)/6</f>
        <v>0.33333333333333331</v>
      </c>
      <c r="AI140" s="157">
        <f>SUM(Last:end!O140)</f>
        <v>0</v>
      </c>
      <c r="AJ140" s="157">
        <f>MIN(Last:end!L140)</f>
        <v>0</v>
      </c>
      <c r="AK140" s="157" t="e">
        <f>IF(AND(AJ140&lt;=2023,#REF!="high interest / inadequate offer "),"yes","no")</f>
        <v>#REF!</v>
      </c>
      <c r="AL140" s="157" t="str">
        <f t="shared" si="36"/>
        <v>no</v>
      </c>
      <c r="AM140" s="157"/>
      <c r="AN140" s="157"/>
      <c r="AO140" s="157"/>
      <c r="AP140" s="157">
        <v>1</v>
      </c>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row>
    <row r="141" spans="1:209" s="26" customFormat="1" ht="62.25" customHeight="1">
      <c r="A141" s="8" t="s">
        <v>53</v>
      </c>
      <c r="B141" s="29" t="s">
        <v>336</v>
      </c>
      <c r="C141" s="8" t="s">
        <v>429</v>
      </c>
      <c r="D141" s="8" t="s">
        <v>446</v>
      </c>
      <c r="E141" s="69" t="s">
        <v>447</v>
      </c>
      <c r="F141" s="8"/>
      <c r="G141" s="8" t="s">
        <v>58</v>
      </c>
      <c r="H141" s="8" t="s">
        <v>435</v>
      </c>
      <c r="I141" s="8" t="s">
        <v>210</v>
      </c>
      <c r="J141" s="8"/>
      <c r="K141" s="8"/>
      <c r="L141" s="8"/>
      <c r="M141" s="8"/>
      <c r="N141" s="8"/>
      <c r="O141" s="8"/>
      <c r="P141" s="8"/>
      <c r="Q141" s="157"/>
      <c r="R141" s="8"/>
      <c r="S141" s="8"/>
      <c r="T141" s="8"/>
      <c r="U141" s="8"/>
      <c r="V141" s="8"/>
      <c r="W141" s="8"/>
      <c r="X141" s="8"/>
      <c r="Y141" s="8"/>
      <c r="Z141" s="8"/>
      <c r="AA141" s="8"/>
      <c r="AB141" s="8"/>
      <c r="AC141" s="314" t="str">
        <f t="shared" si="37"/>
        <v>no</v>
      </c>
      <c r="AD141" s="314">
        <f>COUNTA(first:Last!R141)</f>
        <v>0</v>
      </c>
      <c r="AE141" s="157">
        <f>SUM(first:Last!Z141)</f>
        <v>0</v>
      </c>
      <c r="AF141" s="157" t="str">
        <f t="shared" si="38"/>
        <v>yes</v>
      </c>
      <c r="AG141" s="157">
        <f>COUNTA(Last:end!M141)</f>
        <v>4</v>
      </c>
      <c r="AH141" s="520">
        <f>COUNTA(Last:end!M141)/6</f>
        <v>0.66666666666666663</v>
      </c>
      <c r="AI141" s="157">
        <f>SUM(Last:end!O141)</f>
        <v>0</v>
      </c>
      <c r="AJ141" s="157">
        <f>MIN(Last:end!L141)</f>
        <v>2022</v>
      </c>
      <c r="AK141" s="157" t="e">
        <f>IF(AND(AJ141&lt;=2023,#REF!="high interest / inadequate offer "),"yes","no")</f>
        <v>#REF!</v>
      </c>
      <c r="AL141" s="157" t="str">
        <f t="shared" si="36"/>
        <v>no</v>
      </c>
      <c r="AM141" s="157"/>
      <c r="AN141" s="157"/>
      <c r="AO141" s="157"/>
      <c r="AP141" s="157">
        <v>1</v>
      </c>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row>
    <row r="142" spans="1:209" s="26" customFormat="1" ht="62.25" customHeight="1">
      <c r="A142" s="8" t="s">
        <v>53</v>
      </c>
      <c r="B142" s="29" t="s">
        <v>336</v>
      </c>
      <c r="C142" s="8" t="s">
        <v>429</v>
      </c>
      <c r="D142" s="8" t="s">
        <v>448</v>
      </c>
      <c r="E142" s="8" t="s">
        <v>449</v>
      </c>
      <c r="F142" s="8"/>
      <c r="G142" s="20" t="s">
        <v>58</v>
      </c>
      <c r="H142" s="20" t="s">
        <v>450</v>
      </c>
      <c r="I142" s="22" t="s">
        <v>210</v>
      </c>
      <c r="J142" s="20"/>
      <c r="K142" s="20"/>
      <c r="L142" s="20"/>
      <c r="M142" s="20"/>
      <c r="N142" s="20"/>
      <c r="O142" s="20"/>
      <c r="P142" s="20"/>
      <c r="Q142" s="157"/>
      <c r="R142" s="20"/>
      <c r="S142" s="20"/>
      <c r="T142" s="20"/>
      <c r="U142" s="20"/>
      <c r="V142" s="20"/>
      <c r="W142" s="20"/>
      <c r="X142" s="20"/>
      <c r="Y142" s="20"/>
      <c r="Z142" s="20"/>
      <c r="AA142" s="20"/>
      <c r="AB142" s="20"/>
      <c r="AC142" s="65"/>
      <c r="AD142" s="65"/>
      <c r="AE142" s="65"/>
      <c r="AF142" s="65"/>
      <c r="AG142" s="20">
        <f>COUNTA(Last:end!M142)</f>
        <v>0</v>
      </c>
      <c r="AH142" s="22">
        <f>COUNTA(Last:end!M142)/6</f>
        <v>0</v>
      </c>
      <c r="AI142" s="65"/>
      <c r="AJ142" s="20">
        <f>MIN(Last:end!L142)</f>
        <v>0</v>
      </c>
      <c r="AK142" s="20" t="e">
        <f>IF(AND(AJ142&lt;=2023,#REF!="high interest / inadequate offer "),"yes","no")</f>
        <v>#REF!</v>
      </c>
      <c r="AL142" s="20" t="str">
        <f t="shared" si="36"/>
        <v>no</v>
      </c>
      <c r="AM142" s="157"/>
      <c r="AN142" s="157"/>
      <c r="AO142" s="157"/>
      <c r="AP142" s="157">
        <v>0</v>
      </c>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row>
    <row r="143" spans="1:209" s="26" customFormat="1" ht="62.25" customHeight="1">
      <c r="A143" s="8" t="s">
        <v>53</v>
      </c>
      <c r="B143" s="29" t="s">
        <v>336</v>
      </c>
      <c r="C143" s="8" t="s">
        <v>429</v>
      </c>
      <c r="D143" s="8" t="s">
        <v>451</v>
      </c>
      <c r="E143" s="69" t="s">
        <v>452</v>
      </c>
      <c r="F143" s="8"/>
      <c r="G143" s="8" t="s">
        <v>58</v>
      </c>
      <c r="H143" s="8" t="s">
        <v>450</v>
      </c>
      <c r="I143" s="8" t="s">
        <v>210</v>
      </c>
      <c r="J143" s="8"/>
      <c r="K143" s="8"/>
      <c r="L143" s="8"/>
      <c r="M143" s="8"/>
      <c r="N143" s="8"/>
      <c r="O143" s="8"/>
      <c r="P143" s="8"/>
      <c r="Q143" s="157"/>
      <c r="R143" s="8"/>
      <c r="S143" s="8"/>
      <c r="T143" s="8"/>
      <c r="U143" s="8"/>
      <c r="V143" s="8"/>
      <c r="W143" s="8"/>
      <c r="X143" s="8"/>
      <c r="Y143" s="8"/>
      <c r="Z143" s="8"/>
      <c r="AA143" s="8"/>
      <c r="AB143" s="8"/>
      <c r="AC143" s="314" t="str">
        <f t="shared" ref="AC143:AC154" si="39">IF(AD143&gt;0,"yes", "no")</f>
        <v>no</v>
      </c>
      <c r="AD143" s="314">
        <f>COUNTA(first:Last!R143)</f>
        <v>0</v>
      </c>
      <c r="AE143" s="157">
        <f>SUM(first:Last!Z143)</f>
        <v>0</v>
      </c>
      <c r="AF143" s="157" t="str">
        <f t="shared" ref="AF143:AF154" si="40">IF(AH143&gt;0,"yes", "no")</f>
        <v>no</v>
      </c>
      <c r="AG143" s="157">
        <f>COUNTA(Last:end!M143)</f>
        <v>0</v>
      </c>
      <c r="AH143" s="520">
        <f>COUNTA(Last:end!M143)/6</f>
        <v>0</v>
      </c>
      <c r="AI143" s="157">
        <f>SUM(Last:end!O143)</f>
        <v>0</v>
      </c>
      <c r="AJ143" s="157">
        <f>MIN(Last:end!L143)</f>
        <v>0</v>
      </c>
      <c r="AK143" s="157" t="e">
        <f>IF(AND(AJ143&lt;=2023,#REF!="high interest / inadequate offer "),"yes","no")</f>
        <v>#REF!</v>
      </c>
      <c r="AL143" s="157" t="str">
        <f t="shared" si="36"/>
        <v>no</v>
      </c>
      <c r="AM143" s="157"/>
      <c r="AN143" s="157"/>
      <c r="AO143" s="157"/>
      <c r="AP143" s="157">
        <v>1</v>
      </c>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row>
    <row r="144" spans="1:209" s="26" customFormat="1" ht="62.25" customHeight="1">
      <c r="A144" s="8" t="s">
        <v>53</v>
      </c>
      <c r="B144" s="29" t="s">
        <v>336</v>
      </c>
      <c r="C144" s="8" t="s">
        <v>429</v>
      </c>
      <c r="D144" s="8" t="s">
        <v>453</v>
      </c>
      <c r="E144" s="69" t="s">
        <v>454</v>
      </c>
      <c r="F144" s="8"/>
      <c r="G144" s="8" t="s">
        <v>58</v>
      </c>
      <c r="H144" s="8" t="s">
        <v>450</v>
      </c>
      <c r="I144" s="8" t="s">
        <v>210</v>
      </c>
      <c r="J144" s="8"/>
      <c r="K144" s="8"/>
      <c r="L144" s="8"/>
      <c r="M144" s="8"/>
      <c r="N144" s="8"/>
      <c r="O144" s="8"/>
      <c r="P144" s="8"/>
      <c r="Q144" s="157"/>
      <c r="R144" s="8"/>
      <c r="S144" s="8"/>
      <c r="T144" s="8"/>
      <c r="U144" s="8"/>
      <c r="V144" s="8"/>
      <c r="W144" s="8"/>
      <c r="X144" s="8"/>
      <c r="Y144" s="8"/>
      <c r="Z144" s="8"/>
      <c r="AA144" s="8"/>
      <c r="AB144" s="8"/>
      <c r="AC144" s="314" t="str">
        <f t="shared" si="39"/>
        <v>no</v>
      </c>
      <c r="AD144" s="314">
        <f>COUNTA(first:Last!R144)</f>
        <v>0</v>
      </c>
      <c r="AE144" s="157">
        <f>SUM(first:Last!Z144)</f>
        <v>0</v>
      </c>
      <c r="AF144" s="157" t="str">
        <f t="shared" si="40"/>
        <v>yes</v>
      </c>
      <c r="AG144" s="157">
        <f>COUNTA(Last:end!M144)</f>
        <v>2</v>
      </c>
      <c r="AH144" s="520">
        <f>COUNTA(Last:end!M144)/6</f>
        <v>0.33333333333333331</v>
      </c>
      <c r="AI144" s="157">
        <f>SUM(Last:end!O144)</f>
        <v>0</v>
      </c>
      <c r="AJ144" s="157">
        <f>MIN(Last:end!L144)</f>
        <v>2022</v>
      </c>
      <c r="AK144" s="157" t="e">
        <f>IF(AND(AJ144&lt;=2023,#REF!="high interest / inadequate offer "),"yes","no")</f>
        <v>#REF!</v>
      </c>
      <c r="AL144" s="157" t="str">
        <f t="shared" si="36"/>
        <v>no</v>
      </c>
      <c r="AM144" s="157"/>
      <c r="AN144" s="157"/>
      <c r="AO144" s="157"/>
      <c r="AP144" s="157">
        <v>1</v>
      </c>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row>
    <row r="145" spans="1:209" s="26" customFormat="1" ht="62.25" customHeight="1">
      <c r="A145" s="8" t="s">
        <v>53</v>
      </c>
      <c r="B145" s="29" t="s">
        <v>336</v>
      </c>
      <c r="C145" s="8" t="s">
        <v>429</v>
      </c>
      <c r="D145" s="8" t="s">
        <v>455</v>
      </c>
      <c r="E145" s="69" t="s">
        <v>456</v>
      </c>
      <c r="F145" s="8"/>
      <c r="G145" s="8" t="s">
        <v>58</v>
      </c>
      <c r="H145" s="8" t="s">
        <v>450</v>
      </c>
      <c r="I145" s="8" t="s">
        <v>210</v>
      </c>
      <c r="J145" s="8"/>
      <c r="K145" s="8"/>
      <c r="L145" s="8"/>
      <c r="M145" s="8"/>
      <c r="N145" s="8"/>
      <c r="O145" s="8"/>
      <c r="P145" s="8"/>
      <c r="Q145" s="157"/>
      <c r="R145" s="8"/>
      <c r="S145" s="8"/>
      <c r="T145" s="8"/>
      <c r="U145" s="8"/>
      <c r="V145" s="8"/>
      <c r="W145" s="8"/>
      <c r="X145" s="8"/>
      <c r="Y145" s="8"/>
      <c r="Z145" s="8"/>
      <c r="AA145" s="8"/>
      <c r="AB145" s="8"/>
      <c r="AC145" s="314" t="str">
        <f t="shared" si="39"/>
        <v>no</v>
      </c>
      <c r="AD145" s="314">
        <f>COUNTA(first:Last!R145)</f>
        <v>0</v>
      </c>
      <c r="AE145" s="157">
        <f>SUM(first:Last!Z145)</f>
        <v>0</v>
      </c>
      <c r="AF145" s="157" t="str">
        <f t="shared" si="40"/>
        <v>yes</v>
      </c>
      <c r="AG145" s="157">
        <f>COUNTA(Last:end!M145)</f>
        <v>1</v>
      </c>
      <c r="AH145" s="520">
        <f>COUNTA(Last:end!M145)/6</f>
        <v>0.16666666666666666</v>
      </c>
      <c r="AI145" s="157">
        <f>SUM(Last:end!O145)</f>
        <v>0</v>
      </c>
      <c r="AJ145" s="157">
        <f>MIN(Last:end!L145)</f>
        <v>0</v>
      </c>
      <c r="AK145" s="157" t="e">
        <f>IF(AND(AJ145&lt;=2023,#REF!="high interest / inadequate offer "),"yes","no")</f>
        <v>#REF!</v>
      </c>
      <c r="AL145" s="157" t="str">
        <f t="shared" si="36"/>
        <v>no</v>
      </c>
      <c r="AM145" s="157"/>
      <c r="AN145" s="157"/>
      <c r="AO145" s="157"/>
      <c r="AP145" s="157">
        <v>1</v>
      </c>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row>
    <row r="146" spans="1:209" s="26" customFormat="1" ht="62.25" customHeight="1">
      <c r="A146" s="8" t="s">
        <v>53</v>
      </c>
      <c r="B146" s="29" t="s">
        <v>336</v>
      </c>
      <c r="C146" s="8" t="s">
        <v>429</v>
      </c>
      <c r="D146" s="8" t="s">
        <v>457</v>
      </c>
      <c r="E146" s="69" t="s">
        <v>458</v>
      </c>
      <c r="F146" s="8"/>
      <c r="G146" s="8" t="s">
        <v>58</v>
      </c>
      <c r="H146" s="8" t="s">
        <v>450</v>
      </c>
      <c r="I146" s="8" t="s">
        <v>210</v>
      </c>
      <c r="J146" s="8"/>
      <c r="K146" s="8"/>
      <c r="L146" s="8"/>
      <c r="M146" s="8"/>
      <c r="N146" s="8"/>
      <c r="O146" s="8"/>
      <c r="P146" s="8"/>
      <c r="Q146" s="157"/>
      <c r="R146" s="8"/>
      <c r="S146" s="8"/>
      <c r="T146" s="8"/>
      <c r="U146" s="8"/>
      <c r="V146" s="8"/>
      <c r="W146" s="8"/>
      <c r="X146" s="8"/>
      <c r="Y146" s="8"/>
      <c r="Z146" s="8"/>
      <c r="AA146" s="8"/>
      <c r="AB146" s="8"/>
      <c r="AC146" s="314" t="str">
        <f t="shared" si="39"/>
        <v>no</v>
      </c>
      <c r="AD146" s="314">
        <f>COUNTA(first:Last!R146)</f>
        <v>0</v>
      </c>
      <c r="AE146" s="157">
        <f>SUM(first:Last!Z146)</f>
        <v>0</v>
      </c>
      <c r="AF146" s="157" t="str">
        <f t="shared" si="40"/>
        <v>no</v>
      </c>
      <c r="AG146" s="157">
        <f>COUNTA(Last:end!M146)</f>
        <v>0</v>
      </c>
      <c r="AH146" s="520">
        <f>COUNTA(Last:end!M146)/6</f>
        <v>0</v>
      </c>
      <c r="AI146" s="157">
        <f>SUM(Last:end!O146)</f>
        <v>0</v>
      </c>
      <c r="AJ146" s="157">
        <f>MIN(Last:end!L146)</f>
        <v>0</v>
      </c>
      <c r="AK146" s="157" t="e">
        <f>IF(AND(AJ146&lt;=2023,#REF!="high interest / inadequate offer "),"yes","no")</f>
        <v>#REF!</v>
      </c>
      <c r="AL146" s="157" t="str">
        <f t="shared" si="36"/>
        <v>no</v>
      </c>
      <c r="AM146" s="157"/>
      <c r="AN146" s="157"/>
      <c r="AO146" s="157"/>
      <c r="AP146" s="157">
        <v>1</v>
      </c>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row>
    <row r="147" spans="1:209" s="26" customFormat="1" ht="62.25" customHeight="1">
      <c r="A147" s="8" t="s">
        <v>53</v>
      </c>
      <c r="B147" s="29" t="s">
        <v>336</v>
      </c>
      <c r="C147" s="8" t="s">
        <v>429</v>
      </c>
      <c r="D147" s="8" t="s">
        <v>459</v>
      </c>
      <c r="E147" s="69" t="s">
        <v>460</v>
      </c>
      <c r="F147" s="8"/>
      <c r="G147" s="8" t="s">
        <v>58</v>
      </c>
      <c r="H147" s="8" t="s">
        <v>450</v>
      </c>
      <c r="I147" s="8" t="s">
        <v>210</v>
      </c>
      <c r="J147" s="8"/>
      <c r="K147" s="8"/>
      <c r="L147" s="8"/>
      <c r="M147" s="8"/>
      <c r="N147" s="8"/>
      <c r="O147" s="8"/>
      <c r="P147" s="8"/>
      <c r="Q147" s="157"/>
      <c r="R147" s="8"/>
      <c r="S147" s="8"/>
      <c r="T147" s="8"/>
      <c r="U147" s="8"/>
      <c r="V147" s="8"/>
      <c r="W147" s="8"/>
      <c r="X147" s="8"/>
      <c r="Y147" s="8"/>
      <c r="Z147" s="8"/>
      <c r="AA147" s="8"/>
      <c r="AB147" s="8"/>
      <c r="AC147" s="314" t="str">
        <f t="shared" si="39"/>
        <v>no</v>
      </c>
      <c r="AD147" s="314">
        <f>COUNTA(first:Last!R147)</f>
        <v>0</v>
      </c>
      <c r="AE147" s="157">
        <f>SUM(first:Last!Z147)</f>
        <v>0</v>
      </c>
      <c r="AF147" s="157" t="str">
        <f t="shared" si="40"/>
        <v>no</v>
      </c>
      <c r="AG147" s="157">
        <f>COUNTA(Last:end!M147)</f>
        <v>0</v>
      </c>
      <c r="AH147" s="520">
        <f>COUNTA(Last:end!M147)/6</f>
        <v>0</v>
      </c>
      <c r="AI147" s="157">
        <f>SUM(Last:end!O147)</f>
        <v>0</v>
      </c>
      <c r="AJ147" s="157">
        <f>MIN(Last:end!L147)</f>
        <v>0</v>
      </c>
      <c r="AK147" s="157" t="e">
        <f>IF(AND(AJ147&lt;=2023,#REF!="high interest / inadequate offer "),"yes","no")</f>
        <v>#REF!</v>
      </c>
      <c r="AL147" s="157" t="str">
        <f t="shared" si="36"/>
        <v>no</v>
      </c>
      <c r="AM147" s="157"/>
      <c r="AN147" s="157"/>
      <c r="AO147" s="157"/>
      <c r="AP147" s="157">
        <v>1</v>
      </c>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row>
    <row r="148" spans="1:209" s="26" customFormat="1" ht="62.25" customHeight="1">
      <c r="A148" s="8" t="s">
        <v>53</v>
      </c>
      <c r="B148" s="29" t="s">
        <v>336</v>
      </c>
      <c r="C148" s="8" t="s">
        <v>429</v>
      </c>
      <c r="D148" s="8" t="s">
        <v>461</v>
      </c>
      <c r="E148" s="69" t="s">
        <v>462</v>
      </c>
      <c r="F148" s="8"/>
      <c r="G148" s="8" t="s">
        <v>58</v>
      </c>
      <c r="H148" s="8" t="s">
        <v>450</v>
      </c>
      <c r="I148" s="8" t="s">
        <v>210</v>
      </c>
      <c r="J148" s="8"/>
      <c r="K148" s="8"/>
      <c r="L148" s="8"/>
      <c r="M148" s="8"/>
      <c r="N148" s="8"/>
      <c r="O148" s="8"/>
      <c r="P148" s="8"/>
      <c r="Q148" s="157"/>
      <c r="R148" s="8"/>
      <c r="S148" s="8"/>
      <c r="T148" s="8"/>
      <c r="U148" s="8"/>
      <c r="V148" s="8"/>
      <c r="W148" s="8"/>
      <c r="X148" s="8"/>
      <c r="Y148" s="8"/>
      <c r="Z148" s="8"/>
      <c r="AA148" s="8"/>
      <c r="AB148" s="8"/>
      <c r="AC148" s="314" t="str">
        <f t="shared" si="39"/>
        <v>no</v>
      </c>
      <c r="AD148" s="314">
        <f>COUNTA(first:Last!R148)</f>
        <v>0</v>
      </c>
      <c r="AE148" s="157">
        <f>SUM(first:Last!Z148)</f>
        <v>0</v>
      </c>
      <c r="AF148" s="157" t="str">
        <f t="shared" si="40"/>
        <v>no</v>
      </c>
      <c r="AG148" s="157">
        <f>COUNTA(Last:end!M148)</f>
        <v>0</v>
      </c>
      <c r="AH148" s="520">
        <f>COUNTA(Last:end!M148)/6</f>
        <v>0</v>
      </c>
      <c r="AI148" s="157">
        <f>SUM(Last:end!O148)</f>
        <v>0</v>
      </c>
      <c r="AJ148" s="157">
        <f>MIN(Last:end!L148)</f>
        <v>0</v>
      </c>
      <c r="AK148" s="157" t="e">
        <f>IF(AND(AJ148&lt;=2023,#REF!="high interest / inadequate offer "),"yes","no")</f>
        <v>#REF!</v>
      </c>
      <c r="AL148" s="157" t="str">
        <f t="shared" si="36"/>
        <v>no</v>
      </c>
      <c r="AM148" s="157"/>
      <c r="AN148" s="157"/>
      <c r="AO148" s="157"/>
      <c r="AP148" s="157">
        <v>1</v>
      </c>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row>
    <row r="149" spans="1:209" s="26" customFormat="1" ht="62.25" customHeight="1">
      <c r="A149" s="8" t="s">
        <v>53</v>
      </c>
      <c r="B149" s="29" t="s">
        <v>336</v>
      </c>
      <c r="C149" s="8" t="s">
        <v>429</v>
      </c>
      <c r="D149" s="8" t="s">
        <v>463</v>
      </c>
      <c r="E149" s="69" t="s">
        <v>464</v>
      </c>
      <c r="F149" s="8"/>
      <c r="G149" s="8" t="s">
        <v>58</v>
      </c>
      <c r="H149" s="8" t="s">
        <v>450</v>
      </c>
      <c r="I149" s="8" t="s">
        <v>210</v>
      </c>
      <c r="J149" s="8"/>
      <c r="K149" s="8"/>
      <c r="L149" s="8"/>
      <c r="M149" s="8"/>
      <c r="N149" s="8"/>
      <c r="O149" s="8"/>
      <c r="P149" s="8"/>
      <c r="Q149" s="157"/>
      <c r="R149" s="8"/>
      <c r="S149" s="8"/>
      <c r="T149" s="8"/>
      <c r="U149" s="8"/>
      <c r="V149" s="8"/>
      <c r="W149" s="8"/>
      <c r="X149" s="8"/>
      <c r="Y149" s="8"/>
      <c r="Z149" s="8"/>
      <c r="AA149" s="8"/>
      <c r="AB149" s="8"/>
      <c r="AC149" s="314" t="str">
        <f t="shared" si="39"/>
        <v>no</v>
      </c>
      <c r="AD149" s="314">
        <f>COUNTA(first:Last!R149)</f>
        <v>0</v>
      </c>
      <c r="AE149" s="157">
        <f>SUM(first:Last!Z149)</f>
        <v>0</v>
      </c>
      <c r="AF149" s="157" t="str">
        <f t="shared" si="40"/>
        <v>no</v>
      </c>
      <c r="AG149" s="157">
        <f>COUNTA(Last:end!M149)</f>
        <v>0</v>
      </c>
      <c r="AH149" s="520">
        <f>COUNTA(Last:end!M149)/6</f>
        <v>0</v>
      </c>
      <c r="AI149" s="157">
        <f>SUM(Last:end!O149)</f>
        <v>0</v>
      </c>
      <c r="AJ149" s="157">
        <f>MIN(Last:end!L149)</f>
        <v>0</v>
      </c>
      <c r="AK149" s="157" t="e">
        <f>IF(AND(AJ149&lt;=2023,#REF!="high interest / inadequate offer "),"yes","no")</f>
        <v>#REF!</v>
      </c>
      <c r="AL149" s="157" t="str">
        <f t="shared" si="36"/>
        <v>no</v>
      </c>
      <c r="AM149" s="157"/>
      <c r="AN149" s="157"/>
      <c r="AO149" s="157"/>
      <c r="AP149" s="157">
        <v>1</v>
      </c>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row>
    <row r="150" spans="1:209" s="26" customFormat="1" ht="62.25" customHeight="1">
      <c r="A150" s="8" t="s">
        <v>53</v>
      </c>
      <c r="B150" s="29" t="s">
        <v>336</v>
      </c>
      <c r="C150" s="8" t="s">
        <v>429</v>
      </c>
      <c r="D150" s="8" t="s">
        <v>465</v>
      </c>
      <c r="E150" s="69" t="s">
        <v>466</v>
      </c>
      <c r="F150" s="8"/>
      <c r="G150" s="8" t="s">
        <v>58</v>
      </c>
      <c r="H150" s="8" t="s">
        <v>450</v>
      </c>
      <c r="I150" s="8" t="s">
        <v>210</v>
      </c>
      <c r="J150" s="8"/>
      <c r="K150" s="8"/>
      <c r="L150" s="8"/>
      <c r="M150" s="8"/>
      <c r="N150" s="8"/>
      <c r="O150" s="8"/>
      <c r="P150" s="8"/>
      <c r="Q150" s="157"/>
      <c r="R150" s="8"/>
      <c r="S150" s="8"/>
      <c r="T150" s="8"/>
      <c r="U150" s="8"/>
      <c r="V150" s="8"/>
      <c r="W150" s="8"/>
      <c r="X150" s="8"/>
      <c r="Y150" s="8"/>
      <c r="Z150" s="8"/>
      <c r="AA150" s="8"/>
      <c r="AB150" s="8"/>
      <c r="AC150" s="314" t="str">
        <f t="shared" si="39"/>
        <v>no</v>
      </c>
      <c r="AD150" s="314">
        <f>COUNTA(first:Last!R150)</f>
        <v>0</v>
      </c>
      <c r="AE150" s="157">
        <f>SUM(first:Last!Z150)</f>
        <v>0</v>
      </c>
      <c r="AF150" s="157" t="str">
        <f t="shared" si="40"/>
        <v>yes</v>
      </c>
      <c r="AG150" s="157">
        <f>COUNTA(Last:end!M150)</f>
        <v>1</v>
      </c>
      <c r="AH150" s="520">
        <f>COUNTA(Last:end!M150)/6</f>
        <v>0.16666666666666666</v>
      </c>
      <c r="AI150" s="157">
        <f>SUM(Last:end!O150)</f>
        <v>0</v>
      </c>
      <c r="AJ150" s="157">
        <f>MIN(Last:end!L150)</f>
        <v>2022</v>
      </c>
      <c r="AK150" s="157" t="e">
        <f>IF(AND(AJ150&lt;=2023,#REF!="high interest / inadequate offer "),"yes","no")</f>
        <v>#REF!</v>
      </c>
      <c r="AL150" s="157" t="str">
        <f t="shared" si="36"/>
        <v>no</v>
      </c>
      <c r="AM150" s="157"/>
      <c r="AN150" s="157"/>
      <c r="AO150" s="157"/>
      <c r="AP150" s="157">
        <v>1</v>
      </c>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row>
    <row r="151" spans="1:209" s="26" customFormat="1" ht="62.25" customHeight="1">
      <c r="A151" s="8" t="s">
        <v>53</v>
      </c>
      <c r="B151" s="29" t="s">
        <v>336</v>
      </c>
      <c r="C151" s="8" t="s">
        <v>429</v>
      </c>
      <c r="D151" s="8" t="s">
        <v>467</v>
      </c>
      <c r="E151" s="8" t="s">
        <v>468</v>
      </c>
      <c r="F151" s="8"/>
      <c r="G151" s="8" t="s">
        <v>58</v>
      </c>
      <c r="H151" s="8" t="s">
        <v>469</v>
      </c>
      <c r="I151" s="8" t="s">
        <v>210</v>
      </c>
      <c r="J151" s="8"/>
      <c r="K151" s="8"/>
      <c r="L151" s="8"/>
      <c r="M151" s="8"/>
      <c r="N151" s="8"/>
      <c r="O151" s="8"/>
      <c r="P151" s="8"/>
      <c r="Q151" s="157"/>
      <c r="R151" s="8"/>
      <c r="S151" s="8"/>
      <c r="T151" s="8"/>
      <c r="U151" s="8"/>
      <c r="V151" s="8"/>
      <c r="W151" s="8"/>
      <c r="X151" s="8"/>
      <c r="Y151" s="8"/>
      <c r="Z151" s="8"/>
      <c r="AA151" s="8"/>
      <c r="AB151" s="8"/>
      <c r="AC151" s="314" t="str">
        <f t="shared" si="39"/>
        <v>no</v>
      </c>
      <c r="AD151" s="314">
        <f>COUNTA(first:Last!R151)</f>
        <v>0</v>
      </c>
      <c r="AE151" s="157">
        <f>SUM(first:Last!Z151)</f>
        <v>0</v>
      </c>
      <c r="AF151" s="157" t="str">
        <f t="shared" si="40"/>
        <v>yes</v>
      </c>
      <c r="AG151" s="157">
        <f>COUNTA(Last:end!M151)</f>
        <v>3</v>
      </c>
      <c r="AH151" s="520">
        <f>COUNTA(Last:end!M151)/6</f>
        <v>0.5</v>
      </c>
      <c r="AI151" s="157">
        <f>SUM(Last:end!O151)</f>
        <v>0</v>
      </c>
      <c r="AJ151" s="157">
        <f>MIN(Last:end!L151)</f>
        <v>2022</v>
      </c>
      <c r="AK151" s="157" t="e">
        <f>IF(AND(AJ151&lt;=2023,#REF!="high interest / inadequate offer "),"yes","no")</f>
        <v>#REF!</v>
      </c>
      <c r="AL151" s="157" t="str">
        <f t="shared" si="36"/>
        <v>no</v>
      </c>
      <c r="AM151" s="157"/>
      <c r="AN151" s="157"/>
      <c r="AO151" s="157"/>
      <c r="AP151" s="157">
        <v>1</v>
      </c>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row>
    <row r="152" spans="1:209" s="26" customFormat="1" ht="78.75">
      <c r="A152" s="8" t="s">
        <v>53</v>
      </c>
      <c r="B152" s="29" t="s">
        <v>336</v>
      </c>
      <c r="C152" s="8" t="s">
        <v>429</v>
      </c>
      <c r="D152" s="8" t="s">
        <v>470</v>
      </c>
      <c r="E152" s="8" t="s">
        <v>471</v>
      </c>
      <c r="F152" s="8"/>
      <c r="G152" s="8" t="s">
        <v>71</v>
      </c>
      <c r="H152" s="8" t="s">
        <v>472</v>
      </c>
      <c r="I152" s="8">
        <v>1</v>
      </c>
      <c r="J152" s="8"/>
      <c r="K152" s="8"/>
      <c r="L152" s="8"/>
      <c r="M152" s="8"/>
      <c r="N152" s="8"/>
      <c r="O152" s="8"/>
      <c r="P152" s="8"/>
      <c r="Q152" s="157"/>
      <c r="R152" s="8"/>
      <c r="S152" s="8"/>
      <c r="T152" s="8"/>
      <c r="U152" s="8"/>
      <c r="V152" s="8"/>
      <c r="W152" s="8"/>
      <c r="X152" s="8"/>
      <c r="Y152" s="8"/>
      <c r="Z152" s="8"/>
      <c r="AA152" s="8"/>
      <c r="AB152" s="8"/>
      <c r="AC152" s="314" t="str">
        <f t="shared" si="39"/>
        <v>yes</v>
      </c>
      <c r="AD152" s="314">
        <f>COUNTA(first:Last!R152)</f>
        <v>1</v>
      </c>
      <c r="AE152" s="157">
        <f>SUM(first:Last!Z152)</f>
        <v>20000</v>
      </c>
      <c r="AF152" s="157" t="str">
        <f t="shared" si="40"/>
        <v>no</v>
      </c>
      <c r="AG152" s="157">
        <f>COUNTA(Last:end!M152)</f>
        <v>0</v>
      </c>
      <c r="AH152" s="520">
        <f>COUNTA(Last:end!M152)/6</f>
        <v>0</v>
      </c>
      <c r="AI152" s="157">
        <f>SUM(Last:end!O152)</f>
        <v>0</v>
      </c>
      <c r="AJ152" s="157">
        <f>MIN(Last:end!L152)</f>
        <v>0</v>
      </c>
      <c r="AK152" s="157" t="e">
        <f>IF(AND(AJ152&lt;=2023,#REF!="high interest / inadequate offer "),"yes","no")</f>
        <v>#REF!</v>
      </c>
      <c r="AL152" s="157" t="str">
        <f t="shared" si="36"/>
        <v>no</v>
      </c>
      <c r="AM152" s="157"/>
      <c r="AN152" s="157"/>
      <c r="AO152" s="157"/>
      <c r="AP152" s="157">
        <v>1</v>
      </c>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row>
    <row r="153" spans="1:209" s="26" customFormat="1" ht="62.25" customHeight="1">
      <c r="A153" s="8" t="s">
        <v>53</v>
      </c>
      <c r="B153" s="29" t="s">
        <v>336</v>
      </c>
      <c r="C153" s="8" t="s">
        <v>473</v>
      </c>
      <c r="D153" s="8" t="s">
        <v>474</v>
      </c>
      <c r="E153" s="8" t="s">
        <v>475</v>
      </c>
      <c r="F153" s="8"/>
      <c r="G153" s="8" t="s">
        <v>62</v>
      </c>
      <c r="H153" s="8" t="s">
        <v>476</v>
      </c>
      <c r="I153" s="8" t="s">
        <v>210</v>
      </c>
      <c r="J153" s="8"/>
      <c r="K153" s="8"/>
      <c r="L153" s="8"/>
      <c r="M153" s="8"/>
      <c r="N153" s="8"/>
      <c r="O153" s="8"/>
      <c r="P153" s="8"/>
      <c r="Q153" s="157"/>
      <c r="R153" s="8"/>
      <c r="S153" s="8"/>
      <c r="T153" s="8"/>
      <c r="U153" s="8"/>
      <c r="V153" s="8"/>
      <c r="W153" s="8"/>
      <c r="X153" s="8"/>
      <c r="Y153" s="8"/>
      <c r="Z153" s="8"/>
      <c r="AA153" s="8"/>
      <c r="AB153" s="8"/>
      <c r="AC153" s="314" t="str">
        <f t="shared" si="39"/>
        <v>yes</v>
      </c>
      <c r="AD153" s="314">
        <f>COUNTA(first:Last!R153)</f>
        <v>1</v>
      </c>
      <c r="AE153" s="157">
        <f>SUM(first:Last!Z153)</f>
        <v>86250</v>
      </c>
      <c r="AF153" s="157" t="str">
        <f t="shared" si="40"/>
        <v>yes</v>
      </c>
      <c r="AG153" s="157">
        <f>COUNTA(Last:end!M153)</f>
        <v>3</v>
      </c>
      <c r="AH153" s="520">
        <f>COUNTA(Last:end!M153)/6</f>
        <v>0.5</v>
      </c>
      <c r="AI153" s="157">
        <f>SUM(Last:end!O153)</f>
        <v>0</v>
      </c>
      <c r="AJ153" s="157">
        <f>MIN(Last:end!L153)</f>
        <v>2023</v>
      </c>
      <c r="AK153" s="157" t="e">
        <f>IF(AND(AJ153&lt;=2023,#REF!="high interest / inadequate offer "),"yes","no")</f>
        <v>#REF!</v>
      </c>
      <c r="AL153" s="157" t="str">
        <f t="shared" si="36"/>
        <v>no</v>
      </c>
      <c r="AM153" s="157"/>
      <c r="AN153" s="157"/>
      <c r="AO153" s="157"/>
      <c r="AP153" s="157">
        <v>1</v>
      </c>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row>
    <row r="154" spans="1:209" s="26" customFormat="1" ht="89.25" customHeight="1">
      <c r="A154" s="8" t="s">
        <v>53</v>
      </c>
      <c r="B154" s="29" t="s">
        <v>336</v>
      </c>
      <c r="C154" s="8" t="s">
        <v>473</v>
      </c>
      <c r="D154" s="8" t="s">
        <v>477</v>
      </c>
      <c r="E154" s="8" t="s">
        <v>478</v>
      </c>
      <c r="F154" s="8"/>
      <c r="G154" s="8" t="s">
        <v>62</v>
      </c>
      <c r="H154" s="8" t="s">
        <v>479</v>
      </c>
      <c r="I154" s="8" t="s">
        <v>210</v>
      </c>
      <c r="J154" s="8"/>
      <c r="K154" s="8"/>
      <c r="L154" s="8"/>
      <c r="M154" s="8"/>
      <c r="N154" s="8"/>
      <c r="O154" s="8"/>
      <c r="P154" s="8"/>
      <c r="Q154" s="157"/>
      <c r="R154" s="8"/>
      <c r="S154" s="8"/>
      <c r="T154" s="8"/>
      <c r="U154" s="8"/>
      <c r="V154" s="8"/>
      <c r="W154" s="8"/>
      <c r="X154" s="8"/>
      <c r="Y154" s="8"/>
      <c r="Z154" s="8"/>
      <c r="AA154" s="8"/>
      <c r="AB154" s="8"/>
      <c r="AC154" s="314" t="str">
        <f t="shared" si="39"/>
        <v>yes</v>
      </c>
      <c r="AD154" s="314">
        <f>COUNTA(first:Last!R154)</f>
        <v>1</v>
      </c>
      <c r="AE154" s="157">
        <f>SUM(first:Last!Z154)</f>
        <v>86250</v>
      </c>
      <c r="AF154" s="157" t="str">
        <f t="shared" si="40"/>
        <v>yes</v>
      </c>
      <c r="AG154" s="157">
        <f>COUNTA(Last:end!M154)</f>
        <v>3</v>
      </c>
      <c r="AH154" s="520">
        <f>COUNTA(Last:end!M154)/6</f>
        <v>0.5</v>
      </c>
      <c r="AI154" s="157">
        <f>SUM(Last:end!O154)</f>
        <v>0</v>
      </c>
      <c r="AJ154" s="157">
        <f>MIN(Last:end!L154)</f>
        <v>2023</v>
      </c>
      <c r="AK154" s="157" t="e">
        <f>IF(AND(AJ154&lt;=2023,#REF!="high interest / inadequate offer "),"yes","no")</f>
        <v>#REF!</v>
      </c>
      <c r="AL154" s="157" t="str">
        <f t="shared" si="36"/>
        <v>no</v>
      </c>
      <c r="AM154" s="157"/>
      <c r="AN154" s="157"/>
      <c r="AO154" s="157"/>
      <c r="AP154" s="157">
        <v>1</v>
      </c>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row>
    <row r="155" spans="1:209" s="26" customFormat="1" ht="45" customHeight="1">
      <c r="A155" s="552" t="s">
        <v>480</v>
      </c>
      <c r="B155" s="139"/>
      <c r="C155" s="140"/>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140"/>
      <c r="AA155" s="140"/>
      <c r="AB155" s="140"/>
      <c r="AC155" s="157"/>
      <c r="AD155" s="157"/>
      <c r="AE155" s="157"/>
      <c r="AF155" s="157"/>
      <c r="AG155" s="20"/>
      <c r="AH155" s="20"/>
      <c r="AI155" s="20"/>
      <c r="AJ155" s="20"/>
      <c r="AK155" s="20"/>
      <c r="AL155" s="20"/>
      <c r="AM155" s="157"/>
      <c r="AN155" s="157"/>
      <c r="AO155" s="157"/>
      <c r="AP155" s="157">
        <v>0</v>
      </c>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row>
    <row r="156" spans="1:209" s="26" customFormat="1" ht="62.25" customHeight="1">
      <c r="A156" s="8" t="s">
        <v>16</v>
      </c>
      <c r="B156" s="29" t="s">
        <v>54</v>
      </c>
      <c r="C156" s="8" t="s">
        <v>481</v>
      </c>
      <c r="D156" s="8" t="s">
        <v>482</v>
      </c>
      <c r="E156" s="8" t="s">
        <v>483</v>
      </c>
      <c r="F156" s="8"/>
      <c r="G156" s="8" t="s">
        <v>62</v>
      </c>
      <c r="H156" s="8" t="s">
        <v>484</v>
      </c>
      <c r="I156" s="8" t="s">
        <v>485</v>
      </c>
      <c r="J156" s="8"/>
      <c r="K156" s="8"/>
      <c r="L156" s="8"/>
      <c r="M156" s="8"/>
      <c r="N156" s="8"/>
      <c r="O156" s="8"/>
      <c r="P156" s="8"/>
      <c r="Q156" s="157"/>
      <c r="R156" s="8"/>
      <c r="S156" s="8"/>
      <c r="T156" s="8"/>
      <c r="U156" s="8"/>
      <c r="V156" s="8"/>
      <c r="W156" s="8"/>
      <c r="X156" s="8"/>
      <c r="Y156" s="8"/>
      <c r="Z156" s="8"/>
      <c r="AA156" s="8"/>
      <c r="AB156" s="8"/>
      <c r="AC156" s="314" t="str">
        <f t="shared" ref="AC156" si="41">IF(AD156&gt;0,"yes", "no")</f>
        <v>yes</v>
      </c>
      <c r="AD156" s="314">
        <f>COUNTA(first:Last!R156)</f>
        <v>3</v>
      </c>
      <c r="AE156" s="157">
        <f>SUM(first:Last!Z156)</f>
        <v>0</v>
      </c>
      <c r="AF156" s="157" t="str">
        <f t="shared" ref="AF156" si="42">IF(AH156&gt;0,"yes", "no")</f>
        <v>yes</v>
      </c>
      <c r="AG156" s="157">
        <f>COUNTA(Last:end!M156)</f>
        <v>2</v>
      </c>
      <c r="AH156" s="520">
        <f>COUNTA(Last:end!M156)/6</f>
        <v>0.33333333333333331</v>
      </c>
      <c r="AI156" s="157">
        <f>SUM(Last:end!O156)</f>
        <v>17000</v>
      </c>
      <c r="AJ156" s="157">
        <f>MIN(Last:end!L156)</f>
        <v>2023</v>
      </c>
      <c r="AK156" s="157" t="e">
        <f>IF(AND(AJ156&lt;=2023,#REF!="high interest / inadequate offer "),"yes","no")</f>
        <v>#REF!</v>
      </c>
      <c r="AL156" s="157" t="str">
        <f t="shared" ref="AL156:AL189" si="43">IF(AD156&gt;1,"yes", "no")</f>
        <v>yes</v>
      </c>
      <c r="AM156" s="157"/>
      <c r="AN156" s="157"/>
      <c r="AO156" s="157"/>
      <c r="AP156" s="157">
        <v>1</v>
      </c>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row>
    <row r="157" spans="1:209" s="26" customFormat="1" ht="62.25"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20"/>
      <c r="Q157" s="157"/>
      <c r="R157" s="20"/>
      <c r="S157" s="20"/>
      <c r="T157" s="20"/>
      <c r="U157" s="20"/>
      <c r="V157" s="20"/>
      <c r="W157" s="20"/>
      <c r="X157" s="20"/>
      <c r="Y157" s="20"/>
      <c r="Z157" s="20"/>
      <c r="AA157" s="20"/>
      <c r="AB157" s="20"/>
      <c r="AC157" s="65"/>
      <c r="AD157" s="65"/>
      <c r="AE157" s="65"/>
      <c r="AF157" s="65"/>
      <c r="AG157" s="20">
        <f>COUNTA(Last:end!M157)</f>
        <v>0</v>
      </c>
      <c r="AH157" s="22">
        <f>COUNTA(Last:end!M157)/6</f>
        <v>0</v>
      </c>
      <c r="AI157" s="65"/>
      <c r="AJ157" s="20">
        <f>MIN(Last:end!L157)</f>
        <v>0</v>
      </c>
      <c r="AK157" s="20" t="e">
        <f>IF(AND(AJ157&lt;=2023,#REF!="high interest / inadequate offer "),"yes","no")</f>
        <v>#REF!</v>
      </c>
      <c r="AL157" s="20" t="str">
        <f t="shared" si="43"/>
        <v>no</v>
      </c>
      <c r="AM157" s="157"/>
      <c r="AN157" s="157"/>
      <c r="AO157" s="157"/>
      <c r="AP157" s="157">
        <v>0</v>
      </c>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row>
    <row r="158" spans="1:209" s="26" customFormat="1" ht="62.25" customHeight="1">
      <c r="A158" s="8" t="s">
        <v>16</v>
      </c>
      <c r="B158" s="29" t="s">
        <v>54</v>
      </c>
      <c r="C158" s="8" t="s">
        <v>486</v>
      </c>
      <c r="D158" s="8" t="s">
        <v>491</v>
      </c>
      <c r="E158" s="69" t="s">
        <v>492</v>
      </c>
      <c r="F158" s="8"/>
      <c r="G158" s="8" t="s">
        <v>62</v>
      </c>
      <c r="H158" s="8" t="s">
        <v>493</v>
      </c>
      <c r="I158" s="8" t="s">
        <v>494</v>
      </c>
      <c r="J158" s="8"/>
      <c r="K158" s="8"/>
      <c r="L158" s="8"/>
      <c r="M158" s="8"/>
      <c r="N158" s="8"/>
      <c r="O158" s="8"/>
      <c r="P158" s="8"/>
      <c r="Q158" s="157"/>
      <c r="R158" s="8"/>
      <c r="S158" s="8"/>
      <c r="T158" s="8"/>
      <c r="U158" s="8"/>
      <c r="V158" s="8"/>
      <c r="W158" s="8"/>
      <c r="X158" s="8"/>
      <c r="Y158" s="8"/>
      <c r="Z158" s="8"/>
      <c r="AA158" s="8"/>
      <c r="AB158" s="8"/>
      <c r="AC158" s="314" t="str">
        <f t="shared" ref="AC158:AC176" si="44">IF(AD158&gt;0,"yes", "no")</f>
        <v>yes</v>
      </c>
      <c r="AD158" s="314">
        <f>COUNTA(first:Last!R158)</f>
        <v>1</v>
      </c>
      <c r="AE158" s="157">
        <f>SUM(first:Last!Z158)</f>
        <v>0</v>
      </c>
      <c r="AF158" s="157" t="str">
        <f t="shared" ref="AF158:AF176" si="45">IF(AH158&gt;0,"yes", "no")</f>
        <v>yes</v>
      </c>
      <c r="AG158" s="157">
        <f>COUNTA(Last:end!M158)</f>
        <v>2</v>
      </c>
      <c r="AH158" s="520">
        <f>COUNTA(Last:end!M158)/6</f>
        <v>0.33333333333333331</v>
      </c>
      <c r="AI158" s="157">
        <f>SUM(Last:end!O158)</f>
        <v>9600</v>
      </c>
      <c r="AJ158" s="157">
        <f>MIN(Last:end!L158)</f>
        <v>2023</v>
      </c>
      <c r="AK158" s="157" t="e">
        <f>IF(AND(AJ158&lt;=2023,#REF!="high interest / inadequate offer "),"yes","no")</f>
        <v>#REF!</v>
      </c>
      <c r="AL158" s="157" t="str">
        <f t="shared" si="43"/>
        <v>no</v>
      </c>
      <c r="AM158" s="157"/>
      <c r="AN158" s="157"/>
      <c r="AO158" s="157"/>
      <c r="AP158" s="157">
        <v>1</v>
      </c>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row>
    <row r="159" spans="1:209" s="26" customFormat="1" ht="62.25" customHeight="1">
      <c r="A159" s="8" t="s">
        <v>16</v>
      </c>
      <c r="B159" s="29" t="s">
        <v>54</v>
      </c>
      <c r="C159" s="8" t="s">
        <v>486</v>
      </c>
      <c r="D159" s="8" t="s">
        <v>495</v>
      </c>
      <c r="E159" s="69" t="s">
        <v>496</v>
      </c>
      <c r="F159" s="8"/>
      <c r="G159" s="8" t="s">
        <v>62</v>
      </c>
      <c r="H159" s="8" t="s">
        <v>493</v>
      </c>
      <c r="I159" s="8" t="s">
        <v>494</v>
      </c>
      <c r="J159" s="8"/>
      <c r="K159" s="8"/>
      <c r="L159" s="8"/>
      <c r="M159" s="8"/>
      <c r="N159" s="8"/>
      <c r="O159" s="8"/>
      <c r="P159" s="8"/>
      <c r="Q159" s="157"/>
      <c r="R159" s="8"/>
      <c r="S159" s="8"/>
      <c r="T159" s="8"/>
      <c r="U159" s="8"/>
      <c r="V159" s="8"/>
      <c r="W159" s="8"/>
      <c r="X159" s="8"/>
      <c r="Y159" s="8"/>
      <c r="Z159" s="8"/>
      <c r="AA159" s="8"/>
      <c r="AB159" s="8"/>
      <c r="AC159" s="314" t="str">
        <f t="shared" si="44"/>
        <v>yes</v>
      </c>
      <c r="AD159" s="314">
        <f>COUNTA(first:Last!R159)</f>
        <v>1</v>
      </c>
      <c r="AE159" s="157">
        <f>SUM(first:Last!Z159)</f>
        <v>0</v>
      </c>
      <c r="AF159" s="157" t="str">
        <f t="shared" si="45"/>
        <v>yes</v>
      </c>
      <c r="AG159" s="157">
        <f>COUNTA(Last:end!M159)</f>
        <v>2</v>
      </c>
      <c r="AH159" s="520">
        <f>COUNTA(Last:end!M159)/6</f>
        <v>0.33333333333333331</v>
      </c>
      <c r="AI159" s="157">
        <f>SUM(Last:end!O159)</f>
        <v>0</v>
      </c>
      <c r="AJ159" s="157">
        <f>MIN(Last:end!L159)</f>
        <v>2023</v>
      </c>
      <c r="AK159" s="157" t="e">
        <f>IF(AND(AJ159&lt;=2023,#REF!="high interest / inadequate offer "),"yes","no")</f>
        <v>#REF!</v>
      </c>
      <c r="AL159" s="157" t="str">
        <f t="shared" si="43"/>
        <v>no</v>
      </c>
      <c r="AM159" s="157"/>
      <c r="AN159" s="157"/>
      <c r="AO159" s="157"/>
      <c r="AP159" s="157">
        <v>1</v>
      </c>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row>
    <row r="160" spans="1:209" s="26" customFormat="1" ht="62.25" customHeight="1">
      <c r="A160" s="8" t="s">
        <v>16</v>
      </c>
      <c r="B160" s="29" t="s">
        <v>54</v>
      </c>
      <c r="C160" s="8" t="s">
        <v>486</v>
      </c>
      <c r="D160" s="8" t="s">
        <v>497</v>
      </c>
      <c r="E160" s="69" t="s">
        <v>498</v>
      </c>
      <c r="F160" s="8"/>
      <c r="G160" s="8" t="s">
        <v>62</v>
      </c>
      <c r="H160" s="8" t="s">
        <v>493</v>
      </c>
      <c r="I160" s="8" t="s">
        <v>494</v>
      </c>
      <c r="J160" s="8"/>
      <c r="K160" s="8"/>
      <c r="L160" s="8"/>
      <c r="M160" s="8"/>
      <c r="N160" s="8"/>
      <c r="O160" s="8"/>
      <c r="P160" s="8"/>
      <c r="Q160" s="157"/>
      <c r="R160" s="8"/>
      <c r="S160" s="8"/>
      <c r="T160" s="8"/>
      <c r="U160" s="8"/>
      <c r="V160" s="8"/>
      <c r="W160" s="8"/>
      <c r="X160" s="8"/>
      <c r="Y160" s="8"/>
      <c r="Z160" s="8"/>
      <c r="AA160" s="8"/>
      <c r="AB160" s="8"/>
      <c r="AC160" s="314" t="str">
        <f t="shared" si="44"/>
        <v>yes</v>
      </c>
      <c r="AD160" s="314">
        <f>COUNTA(first:Last!R160)</f>
        <v>1</v>
      </c>
      <c r="AE160" s="157">
        <f>SUM(first:Last!Z160)</f>
        <v>0</v>
      </c>
      <c r="AF160" s="157" t="str">
        <f t="shared" si="45"/>
        <v>yes</v>
      </c>
      <c r="AG160" s="157">
        <f>COUNTA(Last:end!M160)</f>
        <v>2</v>
      </c>
      <c r="AH160" s="520">
        <f>COUNTA(Last:end!M160)/6</f>
        <v>0.33333333333333331</v>
      </c>
      <c r="AI160" s="157">
        <f>SUM(Last:end!O160)</f>
        <v>0</v>
      </c>
      <c r="AJ160" s="157">
        <f>MIN(Last:end!L160)</f>
        <v>2023</v>
      </c>
      <c r="AK160" s="157" t="e">
        <f>IF(AND(AJ160&lt;=2023,#REF!="high interest / inadequate offer "),"yes","no")</f>
        <v>#REF!</v>
      </c>
      <c r="AL160" s="157" t="str">
        <f t="shared" si="43"/>
        <v>no</v>
      </c>
      <c r="AM160" s="157"/>
      <c r="AN160" s="157"/>
      <c r="AO160" s="157"/>
      <c r="AP160" s="157">
        <v>1</v>
      </c>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row>
    <row r="161" spans="1:209" s="26" customFormat="1" ht="62.25" customHeight="1">
      <c r="A161" s="8" t="s">
        <v>16</v>
      </c>
      <c r="B161" s="29" t="s">
        <v>54</v>
      </c>
      <c r="C161" s="8" t="s">
        <v>486</v>
      </c>
      <c r="D161" s="8" t="s">
        <v>499</v>
      </c>
      <c r="E161" s="69" t="s">
        <v>500</v>
      </c>
      <c r="F161" s="8"/>
      <c r="G161" s="8" t="s">
        <v>62</v>
      </c>
      <c r="H161" s="8" t="s">
        <v>493</v>
      </c>
      <c r="I161" s="8" t="s">
        <v>494</v>
      </c>
      <c r="J161" s="8"/>
      <c r="K161" s="8"/>
      <c r="L161" s="8"/>
      <c r="M161" s="8"/>
      <c r="N161" s="8"/>
      <c r="O161" s="8"/>
      <c r="P161" s="8"/>
      <c r="Q161" s="157"/>
      <c r="R161" s="8"/>
      <c r="S161" s="8"/>
      <c r="T161" s="8"/>
      <c r="U161" s="8"/>
      <c r="V161" s="8"/>
      <c r="W161" s="8"/>
      <c r="X161" s="8"/>
      <c r="Y161" s="8"/>
      <c r="Z161" s="8"/>
      <c r="AA161" s="8"/>
      <c r="AB161" s="8"/>
      <c r="AC161" s="314" t="str">
        <f t="shared" si="44"/>
        <v>yes</v>
      </c>
      <c r="AD161" s="314">
        <f>COUNTA(first:Last!R161)</f>
        <v>2</v>
      </c>
      <c r="AE161" s="157">
        <f>SUM(first:Last!Z161)</f>
        <v>0</v>
      </c>
      <c r="AF161" s="157" t="str">
        <f t="shared" si="45"/>
        <v>yes</v>
      </c>
      <c r="AG161" s="157">
        <f>COUNTA(Last:end!M161)</f>
        <v>2</v>
      </c>
      <c r="AH161" s="520">
        <f>COUNTA(Last:end!M161)/6</f>
        <v>0.33333333333333331</v>
      </c>
      <c r="AI161" s="157">
        <f>SUM(Last:end!O161)</f>
        <v>0</v>
      </c>
      <c r="AJ161" s="157">
        <f>MIN(Last:end!L161)</f>
        <v>2023</v>
      </c>
      <c r="AK161" s="157" t="e">
        <f>IF(AND(AJ161&lt;=2023,#REF!="high interest / inadequate offer "),"yes","no")</f>
        <v>#REF!</v>
      </c>
      <c r="AL161" s="157" t="str">
        <f t="shared" si="43"/>
        <v>yes</v>
      </c>
      <c r="AM161" s="157"/>
      <c r="AN161" s="157"/>
      <c r="AO161" s="157"/>
      <c r="AP161" s="157">
        <v>1</v>
      </c>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row>
    <row r="162" spans="1:209" s="26" customFormat="1" ht="62.25" customHeight="1">
      <c r="A162" s="8" t="s">
        <v>16</v>
      </c>
      <c r="B162" s="29" t="s">
        <v>54</v>
      </c>
      <c r="C162" s="8" t="s">
        <v>486</v>
      </c>
      <c r="D162" s="8" t="s">
        <v>501</v>
      </c>
      <c r="E162" s="69" t="s">
        <v>502</v>
      </c>
      <c r="F162" s="8"/>
      <c r="G162" s="8" t="s">
        <v>62</v>
      </c>
      <c r="H162" s="8" t="s">
        <v>493</v>
      </c>
      <c r="I162" s="8" t="s">
        <v>494</v>
      </c>
      <c r="J162" s="8"/>
      <c r="K162" s="8"/>
      <c r="L162" s="8"/>
      <c r="M162" s="8"/>
      <c r="N162" s="8"/>
      <c r="O162" s="8"/>
      <c r="P162" s="8"/>
      <c r="Q162" s="157"/>
      <c r="R162" s="8"/>
      <c r="S162" s="8"/>
      <c r="T162" s="8"/>
      <c r="U162" s="8"/>
      <c r="V162" s="8"/>
      <c r="W162" s="8"/>
      <c r="X162" s="8"/>
      <c r="Y162" s="8"/>
      <c r="Z162" s="8"/>
      <c r="AA162" s="8"/>
      <c r="AB162" s="8"/>
      <c r="AC162" s="314" t="str">
        <f t="shared" si="44"/>
        <v>yes</v>
      </c>
      <c r="AD162" s="314">
        <f>COUNTA(first:Last!R162)</f>
        <v>2</v>
      </c>
      <c r="AE162" s="157">
        <f>SUM(first:Last!Z162)</f>
        <v>0</v>
      </c>
      <c r="AF162" s="157" t="str">
        <f t="shared" si="45"/>
        <v>yes</v>
      </c>
      <c r="AG162" s="157">
        <f>COUNTA(Last:end!M162)</f>
        <v>2</v>
      </c>
      <c r="AH162" s="520">
        <f>COUNTA(Last:end!M162)/6</f>
        <v>0.33333333333333331</v>
      </c>
      <c r="AI162" s="157">
        <f>SUM(Last:end!O162)</f>
        <v>0</v>
      </c>
      <c r="AJ162" s="157">
        <f>MIN(Last:end!L162)</f>
        <v>2023</v>
      </c>
      <c r="AK162" s="157" t="e">
        <f>IF(AND(AJ162&lt;=2023,#REF!="high interest / inadequate offer "),"yes","no")</f>
        <v>#REF!</v>
      </c>
      <c r="AL162" s="157" t="str">
        <f t="shared" si="43"/>
        <v>yes</v>
      </c>
      <c r="AM162" s="157"/>
      <c r="AN162" s="157"/>
      <c r="AO162" s="157"/>
      <c r="AP162" s="157">
        <v>1</v>
      </c>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row>
    <row r="163" spans="1:209" s="26" customFormat="1" ht="62.25" customHeight="1">
      <c r="A163" s="8" t="s">
        <v>16</v>
      </c>
      <c r="B163" s="29" t="s">
        <v>54</v>
      </c>
      <c r="C163" s="8" t="s">
        <v>486</v>
      </c>
      <c r="D163" s="8" t="s">
        <v>503</v>
      </c>
      <c r="E163" s="69" t="s">
        <v>504</v>
      </c>
      <c r="F163" s="8"/>
      <c r="G163" s="8" t="s">
        <v>62</v>
      </c>
      <c r="H163" s="8" t="s">
        <v>493</v>
      </c>
      <c r="I163" s="8" t="s">
        <v>494</v>
      </c>
      <c r="J163" s="8"/>
      <c r="K163" s="8"/>
      <c r="L163" s="8"/>
      <c r="M163" s="8"/>
      <c r="N163" s="8"/>
      <c r="O163" s="8"/>
      <c r="P163" s="8"/>
      <c r="Q163" s="157"/>
      <c r="R163" s="8"/>
      <c r="S163" s="8"/>
      <c r="T163" s="8"/>
      <c r="U163" s="8"/>
      <c r="V163" s="8"/>
      <c r="W163" s="8"/>
      <c r="X163" s="8"/>
      <c r="Y163" s="8"/>
      <c r="Z163" s="8"/>
      <c r="AA163" s="8"/>
      <c r="AB163" s="8"/>
      <c r="AC163" s="314" t="str">
        <f t="shared" si="44"/>
        <v>yes</v>
      </c>
      <c r="AD163" s="314">
        <f>COUNTA(first:Last!R163)</f>
        <v>1</v>
      </c>
      <c r="AE163" s="157">
        <f>SUM(first:Last!Z163)</f>
        <v>0</v>
      </c>
      <c r="AF163" s="157" t="str">
        <f t="shared" si="45"/>
        <v>yes</v>
      </c>
      <c r="AG163" s="157">
        <f>COUNTA(Last:end!M163)</f>
        <v>1</v>
      </c>
      <c r="AH163" s="520">
        <f>COUNTA(Last:end!M163)/6</f>
        <v>0.16666666666666666</v>
      </c>
      <c r="AI163" s="157">
        <f>SUM(Last:end!O163)</f>
        <v>0</v>
      </c>
      <c r="AJ163" s="157">
        <f>MIN(Last:end!L163)</f>
        <v>2023</v>
      </c>
      <c r="AK163" s="157" t="e">
        <f>IF(AND(AJ163&lt;=2023,#REF!="high interest / inadequate offer "),"yes","no")</f>
        <v>#REF!</v>
      </c>
      <c r="AL163" s="157" t="str">
        <f t="shared" si="43"/>
        <v>no</v>
      </c>
      <c r="AM163" s="157"/>
      <c r="AN163" s="157"/>
      <c r="AO163" s="157"/>
      <c r="AP163" s="157">
        <v>1</v>
      </c>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row>
    <row r="164" spans="1:209" s="26" customFormat="1" ht="62.25" customHeight="1">
      <c r="A164" s="8" t="s">
        <v>16</v>
      </c>
      <c r="B164" s="29" t="s">
        <v>54</v>
      </c>
      <c r="C164" s="8" t="s">
        <v>486</v>
      </c>
      <c r="D164" s="8" t="s">
        <v>505</v>
      </c>
      <c r="E164" s="69" t="s">
        <v>506</v>
      </c>
      <c r="F164" s="8"/>
      <c r="G164" s="8" t="s">
        <v>62</v>
      </c>
      <c r="H164" s="8" t="s">
        <v>493</v>
      </c>
      <c r="I164" s="8" t="s">
        <v>494</v>
      </c>
      <c r="J164" s="8"/>
      <c r="K164" s="8"/>
      <c r="L164" s="8"/>
      <c r="M164" s="8"/>
      <c r="N164" s="8"/>
      <c r="O164" s="8"/>
      <c r="P164" s="8"/>
      <c r="Q164" s="157"/>
      <c r="R164" s="8"/>
      <c r="S164" s="8"/>
      <c r="T164" s="8"/>
      <c r="U164" s="8"/>
      <c r="V164" s="8"/>
      <c r="W164" s="8"/>
      <c r="X164" s="8"/>
      <c r="Y164" s="8"/>
      <c r="Z164" s="8"/>
      <c r="AA164" s="8"/>
      <c r="AB164" s="8"/>
      <c r="AC164" s="314" t="str">
        <f t="shared" si="44"/>
        <v>yes</v>
      </c>
      <c r="AD164" s="314">
        <f>COUNTA(first:Last!R164)</f>
        <v>1</v>
      </c>
      <c r="AE164" s="157">
        <f>SUM(first:Last!Z164)</f>
        <v>0</v>
      </c>
      <c r="AF164" s="157" t="str">
        <f t="shared" si="45"/>
        <v>yes</v>
      </c>
      <c r="AG164" s="157">
        <f>COUNTA(Last:end!M164)</f>
        <v>3</v>
      </c>
      <c r="AH164" s="520">
        <f>COUNTA(Last:end!M164)/6</f>
        <v>0.5</v>
      </c>
      <c r="AI164" s="157">
        <f>SUM(Last:end!O164)</f>
        <v>0</v>
      </c>
      <c r="AJ164" s="157">
        <f>MIN(Last:end!L164)</f>
        <v>2023</v>
      </c>
      <c r="AK164" s="157" t="e">
        <f>IF(AND(AJ164&lt;=2023,#REF!="high interest / inadequate offer "),"yes","no")</f>
        <v>#REF!</v>
      </c>
      <c r="AL164" s="157" t="str">
        <f t="shared" si="43"/>
        <v>no</v>
      </c>
      <c r="AM164" s="157"/>
      <c r="AN164" s="157"/>
      <c r="AO164" s="157"/>
      <c r="AP164" s="157">
        <v>1</v>
      </c>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row>
    <row r="165" spans="1:209" s="26" customFormat="1" ht="62.25" customHeight="1">
      <c r="A165" s="8" t="s">
        <v>16</v>
      </c>
      <c r="B165" s="29" t="s">
        <v>54</v>
      </c>
      <c r="C165" s="8" t="s">
        <v>486</v>
      </c>
      <c r="D165" s="8" t="s">
        <v>507</v>
      </c>
      <c r="E165" s="69" t="s">
        <v>508</v>
      </c>
      <c r="F165" s="8"/>
      <c r="G165" s="8" t="s">
        <v>62</v>
      </c>
      <c r="H165" s="8" t="s">
        <v>493</v>
      </c>
      <c r="I165" s="8" t="s">
        <v>494</v>
      </c>
      <c r="J165" s="8"/>
      <c r="K165" s="8"/>
      <c r="L165" s="8"/>
      <c r="M165" s="8"/>
      <c r="N165" s="8"/>
      <c r="O165" s="8"/>
      <c r="P165" s="8"/>
      <c r="Q165" s="157"/>
      <c r="R165" s="8"/>
      <c r="S165" s="8"/>
      <c r="T165" s="8"/>
      <c r="U165" s="8"/>
      <c r="V165" s="8"/>
      <c r="W165" s="8"/>
      <c r="X165" s="8"/>
      <c r="Y165" s="8"/>
      <c r="Z165" s="8"/>
      <c r="AA165" s="8"/>
      <c r="AB165" s="8"/>
      <c r="AC165" s="314" t="str">
        <f t="shared" si="44"/>
        <v>yes</v>
      </c>
      <c r="AD165" s="314">
        <f>COUNTA(first:Last!R165)</f>
        <v>1</v>
      </c>
      <c r="AE165" s="157">
        <f>SUM(first:Last!Z165)</f>
        <v>0</v>
      </c>
      <c r="AF165" s="157" t="str">
        <f t="shared" si="45"/>
        <v>yes</v>
      </c>
      <c r="AG165" s="157">
        <f>COUNTA(Last:end!M165)</f>
        <v>3</v>
      </c>
      <c r="AH165" s="520">
        <f>COUNTA(Last:end!M165)/6</f>
        <v>0.5</v>
      </c>
      <c r="AI165" s="157">
        <f>SUM(Last:end!O165)</f>
        <v>0</v>
      </c>
      <c r="AJ165" s="157">
        <f>MIN(Last:end!L165)</f>
        <v>2023</v>
      </c>
      <c r="AK165" s="157" t="e">
        <f>IF(AND(AJ165&lt;=2023,#REF!="high interest / inadequate offer "),"yes","no")</f>
        <v>#REF!</v>
      </c>
      <c r="AL165" s="157" t="str">
        <f t="shared" si="43"/>
        <v>no</v>
      </c>
      <c r="AM165" s="157"/>
      <c r="AN165" s="157"/>
      <c r="AO165" s="157"/>
      <c r="AP165" s="157">
        <v>1</v>
      </c>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row>
    <row r="166" spans="1:209" s="26" customFormat="1" ht="62.25" customHeight="1">
      <c r="A166" s="8" t="s">
        <v>16</v>
      </c>
      <c r="B166" s="29" t="s">
        <v>54</v>
      </c>
      <c r="C166" s="8" t="s">
        <v>486</v>
      </c>
      <c r="D166" s="8" t="s">
        <v>509</v>
      </c>
      <c r="E166" s="69" t="s">
        <v>510</v>
      </c>
      <c r="F166" s="8"/>
      <c r="G166" s="8" t="s">
        <v>62</v>
      </c>
      <c r="H166" s="8" t="s">
        <v>493</v>
      </c>
      <c r="I166" s="8" t="s">
        <v>494</v>
      </c>
      <c r="J166" s="8"/>
      <c r="K166" s="8"/>
      <c r="L166" s="8"/>
      <c r="M166" s="8"/>
      <c r="N166" s="8"/>
      <c r="O166" s="8"/>
      <c r="P166" s="8"/>
      <c r="Q166" s="157"/>
      <c r="R166" s="8"/>
      <c r="S166" s="8"/>
      <c r="T166" s="8"/>
      <c r="U166" s="8"/>
      <c r="V166" s="8"/>
      <c r="W166" s="8"/>
      <c r="X166" s="8"/>
      <c r="Y166" s="8"/>
      <c r="Z166" s="8"/>
      <c r="AA166" s="8"/>
      <c r="AB166" s="8"/>
      <c r="AC166" s="314" t="str">
        <f t="shared" si="44"/>
        <v>yes</v>
      </c>
      <c r="AD166" s="314">
        <f>COUNTA(first:Last!R166)</f>
        <v>1</v>
      </c>
      <c r="AE166" s="157">
        <f>SUM(first:Last!Z166)</f>
        <v>0</v>
      </c>
      <c r="AF166" s="157" t="str">
        <f t="shared" si="45"/>
        <v>yes</v>
      </c>
      <c r="AG166" s="157">
        <f>COUNTA(Last:end!M166)</f>
        <v>3</v>
      </c>
      <c r="AH166" s="520">
        <f>COUNTA(Last:end!M166)/6</f>
        <v>0.5</v>
      </c>
      <c r="AI166" s="157">
        <f>SUM(Last:end!O166)</f>
        <v>0</v>
      </c>
      <c r="AJ166" s="157">
        <f>MIN(Last:end!L166)</f>
        <v>2023</v>
      </c>
      <c r="AK166" s="157" t="e">
        <f>IF(AND(AJ166&lt;=2023,#REF!="high interest / inadequate offer "),"yes","no")</f>
        <v>#REF!</v>
      </c>
      <c r="AL166" s="157" t="str">
        <f t="shared" si="43"/>
        <v>no</v>
      </c>
      <c r="AM166" s="157"/>
      <c r="AN166" s="157"/>
      <c r="AO166" s="157"/>
      <c r="AP166" s="157">
        <v>1</v>
      </c>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row>
    <row r="167" spans="1:209" s="26" customFormat="1" ht="62.25" customHeight="1">
      <c r="A167" s="8" t="s">
        <v>16</v>
      </c>
      <c r="B167" s="29" t="s">
        <v>54</v>
      </c>
      <c r="C167" s="8" t="s">
        <v>486</v>
      </c>
      <c r="D167" s="8" t="s">
        <v>511</v>
      </c>
      <c r="E167" s="69" t="s">
        <v>512</v>
      </c>
      <c r="F167" s="8"/>
      <c r="G167" s="8" t="s">
        <v>62</v>
      </c>
      <c r="H167" s="8" t="s">
        <v>493</v>
      </c>
      <c r="I167" s="8" t="s">
        <v>494</v>
      </c>
      <c r="J167" s="8"/>
      <c r="K167" s="8"/>
      <c r="L167" s="8"/>
      <c r="M167" s="8"/>
      <c r="N167" s="8"/>
      <c r="O167" s="8"/>
      <c r="P167" s="8"/>
      <c r="Q167" s="157"/>
      <c r="R167" s="8"/>
      <c r="S167" s="8"/>
      <c r="T167" s="8"/>
      <c r="U167" s="8"/>
      <c r="V167" s="8"/>
      <c r="W167" s="8"/>
      <c r="X167" s="8"/>
      <c r="Y167" s="8"/>
      <c r="Z167" s="8"/>
      <c r="AA167" s="8"/>
      <c r="AB167" s="8"/>
      <c r="AC167" s="314" t="str">
        <f t="shared" si="44"/>
        <v>yes</v>
      </c>
      <c r="AD167" s="314">
        <f>COUNTA(first:Last!R167)</f>
        <v>1</v>
      </c>
      <c r="AE167" s="157">
        <f>SUM(first:Last!Z167)</f>
        <v>0</v>
      </c>
      <c r="AF167" s="157" t="str">
        <f t="shared" si="45"/>
        <v>yes</v>
      </c>
      <c r="AG167" s="157">
        <f>COUNTA(Last:end!M167)</f>
        <v>2</v>
      </c>
      <c r="AH167" s="520">
        <f>COUNTA(Last:end!M167)/6</f>
        <v>0.33333333333333331</v>
      </c>
      <c r="AI167" s="157">
        <f>SUM(Last:end!O167)</f>
        <v>0</v>
      </c>
      <c r="AJ167" s="157">
        <f>MIN(Last:end!L167)</f>
        <v>2023</v>
      </c>
      <c r="AK167" s="157" t="e">
        <f>IF(AND(AJ167&lt;=2023,#REF!="high interest / inadequate offer "),"yes","no")</f>
        <v>#REF!</v>
      </c>
      <c r="AL167" s="157" t="str">
        <f t="shared" si="43"/>
        <v>no</v>
      </c>
      <c r="AM167" s="157"/>
      <c r="AN167" s="157"/>
      <c r="AO167" s="157"/>
      <c r="AP167" s="157">
        <v>1</v>
      </c>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row>
    <row r="168" spans="1:209" s="26" customFormat="1" ht="62.25" customHeight="1">
      <c r="A168" s="8" t="s">
        <v>16</v>
      </c>
      <c r="B168" s="29" t="s">
        <v>54</v>
      </c>
      <c r="C168" s="8" t="s">
        <v>486</v>
      </c>
      <c r="D168" s="8" t="s">
        <v>513</v>
      </c>
      <c r="E168" s="69" t="s">
        <v>514</v>
      </c>
      <c r="F168" s="8"/>
      <c r="G168" s="8" t="s">
        <v>62</v>
      </c>
      <c r="H168" s="8" t="s">
        <v>493</v>
      </c>
      <c r="I168" s="8" t="s">
        <v>494</v>
      </c>
      <c r="J168" s="8"/>
      <c r="K168" s="8"/>
      <c r="L168" s="8"/>
      <c r="M168" s="8"/>
      <c r="N168" s="8"/>
      <c r="O168" s="8"/>
      <c r="P168" s="8"/>
      <c r="Q168" s="157"/>
      <c r="R168" s="8"/>
      <c r="S168" s="8"/>
      <c r="T168" s="8"/>
      <c r="U168" s="8"/>
      <c r="V168" s="8"/>
      <c r="W168" s="8"/>
      <c r="X168" s="8"/>
      <c r="Y168" s="8"/>
      <c r="Z168" s="8"/>
      <c r="AA168" s="8"/>
      <c r="AB168" s="8"/>
      <c r="AC168" s="314" t="str">
        <f t="shared" si="44"/>
        <v>yes</v>
      </c>
      <c r="AD168" s="314">
        <f>COUNTA(first:Last!R168)</f>
        <v>1</v>
      </c>
      <c r="AE168" s="157">
        <f>SUM(first:Last!Z168)</f>
        <v>0</v>
      </c>
      <c r="AF168" s="157" t="str">
        <f t="shared" si="45"/>
        <v>yes</v>
      </c>
      <c r="AG168" s="157">
        <f>COUNTA(Last:end!M168)</f>
        <v>3</v>
      </c>
      <c r="AH168" s="520">
        <f>COUNTA(Last:end!M168)/6</f>
        <v>0.5</v>
      </c>
      <c r="AI168" s="157">
        <f>SUM(Last:end!O168)</f>
        <v>0</v>
      </c>
      <c r="AJ168" s="157">
        <f>MIN(Last:end!L168)</f>
        <v>2023</v>
      </c>
      <c r="AK168" s="157" t="e">
        <f>IF(AND(AJ168&lt;=2023,#REF!="high interest / inadequate offer "),"yes","no")</f>
        <v>#REF!</v>
      </c>
      <c r="AL168" s="157" t="str">
        <f t="shared" si="43"/>
        <v>no</v>
      </c>
      <c r="AM168" s="157"/>
      <c r="AN168" s="157"/>
      <c r="AO168" s="157"/>
      <c r="AP168" s="157">
        <v>1</v>
      </c>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row>
    <row r="169" spans="1:209" s="26" customFormat="1" ht="62.25" customHeight="1">
      <c r="A169" s="8" t="s">
        <v>16</v>
      </c>
      <c r="B169" s="29" t="s">
        <v>54</v>
      </c>
      <c r="C169" s="8" t="s">
        <v>486</v>
      </c>
      <c r="D169" s="8" t="s">
        <v>515</v>
      </c>
      <c r="E169" s="69" t="s">
        <v>516</v>
      </c>
      <c r="F169" s="8"/>
      <c r="G169" s="8" t="s">
        <v>62</v>
      </c>
      <c r="H169" s="8" t="s">
        <v>493</v>
      </c>
      <c r="I169" s="8" t="s">
        <v>494</v>
      </c>
      <c r="J169" s="8"/>
      <c r="K169" s="8"/>
      <c r="L169" s="8"/>
      <c r="M169" s="8"/>
      <c r="N169" s="8"/>
      <c r="O169" s="8"/>
      <c r="P169" s="8"/>
      <c r="Q169" s="157"/>
      <c r="R169" s="8"/>
      <c r="S169" s="8"/>
      <c r="T169" s="8"/>
      <c r="U169" s="8"/>
      <c r="V169" s="8"/>
      <c r="W169" s="8"/>
      <c r="X169" s="8"/>
      <c r="Y169" s="8"/>
      <c r="Z169" s="8"/>
      <c r="AA169" s="8"/>
      <c r="AB169" s="8"/>
      <c r="AC169" s="314" t="str">
        <f t="shared" si="44"/>
        <v>yes</v>
      </c>
      <c r="AD169" s="314">
        <f>COUNTA(first:Last!R169)</f>
        <v>1</v>
      </c>
      <c r="AE169" s="157">
        <f>SUM(first:Last!Z169)</f>
        <v>0</v>
      </c>
      <c r="AF169" s="157" t="str">
        <f t="shared" si="45"/>
        <v>yes</v>
      </c>
      <c r="AG169" s="157">
        <f>COUNTA(Last:end!M169)</f>
        <v>3</v>
      </c>
      <c r="AH169" s="520">
        <f>COUNTA(Last:end!M169)/6</f>
        <v>0.5</v>
      </c>
      <c r="AI169" s="157">
        <f>SUM(Last:end!O169)</f>
        <v>0</v>
      </c>
      <c r="AJ169" s="157">
        <f>MIN(Last:end!L169)</f>
        <v>2023</v>
      </c>
      <c r="AK169" s="157" t="e">
        <f>IF(AND(AJ169&lt;=2023,#REF!="high interest / inadequate offer "),"yes","no")</f>
        <v>#REF!</v>
      </c>
      <c r="AL169" s="157" t="str">
        <f t="shared" si="43"/>
        <v>no</v>
      </c>
      <c r="AM169" s="157"/>
      <c r="AN169" s="157"/>
      <c r="AO169" s="157"/>
      <c r="AP169" s="157">
        <v>1</v>
      </c>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row>
    <row r="170" spans="1:209" s="26" customFormat="1" ht="62.25" customHeight="1">
      <c r="A170" s="8" t="s">
        <v>16</v>
      </c>
      <c r="B170" s="29" t="s">
        <v>54</v>
      </c>
      <c r="C170" s="8" t="s">
        <v>486</v>
      </c>
      <c r="D170" s="8" t="s">
        <v>517</v>
      </c>
      <c r="E170" s="8" t="s">
        <v>518</v>
      </c>
      <c r="F170" s="8"/>
      <c r="G170" s="8" t="s">
        <v>62</v>
      </c>
      <c r="H170" s="8" t="s">
        <v>519</v>
      </c>
      <c r="I170" s="9">
        <v>1</v>
      </c>
      <c r="J170" s="8"/>
      <c r="K170" s="8"/>
      <c r="L170" s="8"/>
      <c r="M170" s="8"/>
      <c r="N170" s="8"/>
      <c r="O170" s="8"/>
      <c r="P170" s="8"/>
      <c r="Q170" s="157"/>
      <c r="R170" s="8"/>
      <c r="S170" s="8"/>
      <c r="T170" s="8"/>
      <c r="U170" s="8"/>
      <c r="V170" s="8"/>
      <c r="W170" s="8"/>
      <c r="X170" s="8"/>
      <c r="Y170" s="8"/>
      <c r="Z170" s="8"/>
      <c r="AA170" s="8"/>
      <c r="AB170" s="8"/>
      <c r="AC170" s="314" t="str">
        <f t="shared" si="44"/>
        <v>yes</v>
      </c>
      <c r="AD170" s="314">
        <f>COUNTA(first:Last!R170)</f>
        <v>1</v>
      </c>
      <c r="AE170" s="157">
        <f>SUM(first:Last!Z170)</f>
        <v>0</v>
      </c>
      <c r="AF170" s="157" t="str">
        <f t="shared" si="45"/>
        <v>yes</v>
      </c>
      <c r="AG170" s="157">
        <f>COUNTA(Last:end!M170)</f>
        <v>3</v>
      </c>
      <c r="AH170" s="520">
        <f>COUNTA(Last:end!M170)/6</f>
        <v>0.5</v>
      </c>
      <c r="AI170" s="157">
        <f>SUM(Last:end!O170)</f>
        <v>0</v>
      </c>
      <c r="AJ170" s="157">
        <f>MIN(Last:end!L170)</f>
        <v>2023</v>
      </c>
      <c r="AK170" s="157" t="e">
        <f>IF(AND(AJ170&lt;=2023,#REF!="high interest / inadequate offer "),"yes","no")</f>
        <v>#REF!</v>
      </c>
      <c r="AL170" s="157" t="str">
        <f t="shared" si="43"/>
        <v>no</v>
      </c>
      <c r="AM170" s="157"/>
      <c r="AN170" s="157"/>
      <c r="AO170" s="157"/>
      <c r="AP170" s="157">
        <v>1</v>
      </c>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row>
    <row r="171" spans="1:209" s="26" customFormat="1" ht="62.25" customHeight="1">
      <c r="A171" s="8" t="s">
        <v>16</v>
      </c>
      <c r="B171" s="29" t="s">
        <v>54</v>
      </c>
      <c r="C171" s="8" t="s">
        <v>486</v>
      </c>
      <c r="D171" s="8" t="s">
        <v>520</v>
      </c>
      <c r="E171" s="8" t="s">
        <v>521</v>
      </c>
      <c r="F171" s="8"/>
      <c r="G171" s="8" t="s">
        <v>62</v>
      </c>
      <c r="H171" s="8" t="s">
        <v>522</v>
      </c>
      <c r="I171" s="9">
        <v>1</v>
      </c>
      <c r="J171" s="8"/>
      <c r="K171" s="8"/>
      <c r="L171" s="8"/>
      <c r="M171" s="8"/>
      <c r="N171" s="8"/>
      <c r="O171" s="8"/>
      <c r="P171" s="8"/>
      <c r="Q171" s="157"/>
      <c r="R171" s="8"/>
      <c r="S171" s="8"/>
      <c r="T171" s="8"/>
      <c r="U171" s="8"/>
      <c r="V171" s="8"/>
      <c r="W171" s="8"/>
      <c r="X171" s="8"/>
      <c r="Y171" s="8"/>
      <c r="Z171" s="8"/>
      <c r="AA171" s="8"/>
      <c r="AB171" s="8"/>
      <c r="AC171" s="314" t="str">
        <f t="shared" si="44"/>
        <v>yes</v>
      </c>
      <c r="AD171" s="314">
        <f>COUNTA(first:Last!R171)</f>
        <v>1</v>
      </c>
      <c r="AE171" s="157">
        <f>SUM(first:Last!Z171)</f>
        <v>0</v>
      </c>
      <c r="AF171" s="157" t="str">
        <f t="shared" si="45"/>
        <v>yes</v>
      </c>
      <c r="AG171" s="157">
        <f>COUNTA(Last:end!M171)</f>
        <v>1</v>
      </c>
      <c r="AH171" s="520">
        <f>COUNTA(Last:end!M171)/6</f>
        <v>0.16666666666666666</v>
      </c>
      <c r="AI171" s="157">
        <f>SUM(Last:end!O171)</f>
        <v>0</v>
      </c>
      <c r="AJ171" s="157">
        <f>MIN(Last:end!L171)</f>
        <v>2023</v>
      </c>
      <c r="AK171" s="157" t="e">
        <f>IF(AND(AJ171&lt;=2023,#REF!="high interest / inadequate offer "),"yes","no")</f>
        <v>#REF!</v>
      </c>
      <c r="AL171" s="157" t="str">
        <f t="shared" si="43"/>
        <v>no</v>
      </c>
      <c r="AM171" s="157"/>
      <c r="AN171" s="157"/>
      <c r="AO171" s="157"/>
      <c r="AP171" s="157">
        <v>1</v>
      </c>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row>
    <row r="172" spans="1:209" s="26" customFormat="1" ht="62.25" customHeight="1">
      <c r="A172" s="8" t="s">
        <v>16</v>
      </c>
      <c r="B172" s="29" t="s">
        <v>54</v>
      </c>
      <c r="C172" s="8" t="s">
        <v>486</v>
      </c>
      <c r="D172" s="8" t="s">
        <v>523</v>
      </c>
      <c r="E172" s="8" t="s">
        <v>524</v>
      </c>
      <c r="F172" s="8"/>
      <c r="G172" s="8" t="s">
        <v>62</v>
      </c>
      <c r="H172" s="8" t="s">
        <v>525</v>
      </c>
      <c r="I172" s="8" t="s">
        <v>526</v>
      </c>
      <c r="J172" s="8"/>
      <c r="K172" s="8"/>
      <c r="L172" s="8"/>
      <c r="M172" s="8"/>
      <c r="N172" s="8"/>
      <c r="O172" s="8"/>
      <c r="P172" s="8"/>
      <c r="Q172" s="157"/>
      <c r="R172" s="8"/>
      <c r="S172" s="8"/>
      <c r="T172" s="8"/>
      <c r="U172" s="8"/>
      <c r="V172" s="8"/>
      <c r="W172" s="8"/>
      <c r="X172" s="8"/>
      <c r="Y172" s="8"/>
      <c r="Z172" s="8"/>
      <c r="AA172" s="8"/>
      <c r="AB172" s="8"/>
      <c r="AC172" s="314" t="str">
        <f t="shared" si="44"/>
        <v>yes</v>
      </c>
      <c r="AD172" s="314">
        <f>COUNTA(first:Last!R172)</f>
        <v>2</v>
      </c>
      <c r="AE172" s="157">
        <f>SUM(first:Last!Z172)</f>
        <v>4350000</v>
      </c>
      <c r="AF172" s="157" t="str">
        <f t="shared" si="45"/>
        <v>yes</v>
      </c>
      <c r="AG172" s="157">
        <f>COUNTA(Last:end!M172)</f>
        <v>2</v>
      </c>
      <c r="AH172" s="520">
        <f>COUNTA(Last:end!M172)/6</f>
        <v>0.33333333333333331</v>
      </c>
      <c r="AI172" s="157">
        <f>SUM(Last:end!O172)</f>
        <v>0</v>
      </c>
      <c r="AJ172" s="157">
        <f>MIN(Last:end!L172)</f>
        <v>2023</v>
      </c>
      <c r="AK172" s="157" t="e">
        <f>IF(AND(AJ172&lt;=2023,#REF!="high interest / inadequate offer "),"yes","no")</f>
        <v>#REF!</v>
      </c>
      <c r="AL172" s="157" t="str">
        <f t="shared" si="43"/>
        <v>yes</v>
      </c>
      <c r="AM172" s="157"/>
      <c r="AN172" s="157"/>
      <c r="AO172" s="157"/>
      <c r="AP172" s="157">
        <v>1</v>
      </c>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row>
    <row r="173" spans="1:209" s="26" customFormat="1" ht="62.25" customHeight="1">
      <c r="A173" s="8" t="s">
        <v>16</v>
      </c>
      <c r="B173" s="29" t="s">
        <v>54</v>
      </c>
      <c r="C173" s="8" t="s">
        <v>527</v>
      </c>
      <c r="D173" s="8" t="s">
        <v>528</v>
      </c>
      <c r="E173" s="8" t="s">
        <v>529</v>
      </c>
      <c r="F173" s="8"/>
      <c r="G173" s="8" t="s">
        <v>62</v>
      </c>
      <c r="H173" s="8" t="s">
        <v>530</v>
      </c>
      <c r="I173" s="8" t="s">
        <v>135</v>
      </c>
      <c r="J173" s="8"/>
      <c r="K173" s="8"/>
      <c r="L173" s="8"/>
      <c r="M173" s="8"/>
      <c r="N173" s="8"/>
      <c r="O173" s="8"/>
      <c r="P173" s="8"/>
      <c r="Q173" s="157"/>
      <c r="R173" s="8"/>
      <c r="S173" s="8"/>
      <c r="T173" s="8"/>
      <c r="U173" s="8"/>
      <c r="V173" s="8"/>
      <c r="W173" s="8"/>
      <c r="X173" s="8"/>
      <c r="Y173" s="8"/>
      <c r="Z173" s="8"/>
      <c r="AA173" s="8"/>
      <c r="AB173" s="8"/>
      <c r="AC173" s="314" t="str">
        <f t="shared" si="44"/>
        <v>no</v>
      </c>
      <c r="AD173" s="314">
        <f>COUNTA(first:Last!R173)</f>
        <v>0</v>
      </c>
      <c r="AE173" s="157">
        <f>SUM(first:Last!Z173)</f>
        <v>0</v>
      </c>
      <c r="AF173" s="157" t="str">
        <f t="shared" si="45"/>
        <v>yes</v>
      </c>
      <c r="AG173" s="157">
        <f>COUNTA(Last:end!M173)</f>
        <v>2</v>
      </c>
      <c r="AH173" s="520">
        <f>COUNTA(Last:end!M173)/6</f>
        <v>0.33333333333333331</v>
      </c>
      <c r="AI173" s="157">
        <f>SUM(Last:end!O173)</f>
        <v>0</v>
      </c>
      <c r="AJ173" s="157">
        <f>MIN(Last:end!L173)</f>
        <v>2023</v>
      </c>
      <c r="AK173" s="157" t="e">
        <f>IF(AND(AJ173&lt;=2023,#REF!="high interest / inadequate offer "),"yes","no")</f>
        <v>#REF!</v>
      </c>
      <c r="AL173" s="157" t="str">
        <f t="shared" si="43"/>
        <v>no</v>
      </c>
      <c r="AM173" s="157"/>
      <c r="AN173" s="157"/>
      <c r="AO173" s="157"/>
      <c r="AP173" s="157">
        <v>1</v>
      </c>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row>
    <row r="174" spans="1:209" s="26" customFormat="1" ht="62.25" customHeight="1">
      <c r="A174" s="8" t="s">
        <v>16</v>
      </c>
      <c r="B174" s="29" t="s">
        <v>195</v>
      </c>
      <c r="C174" s="8" t="s">
        <v>531</v>
      </c>
      <c r="D174" s="8" t="s">
        <v>532</v>
      </c>
      <c r="E174" s="8" t="s">
        <v>533</v>
      </c>
      <c r="F174" s="8"/>
      <c r="G174" s="8" t="s">
        <v>62</v>
      </c>
      <c r="H174" s="8" t="s">
        <v>534</v>
      </c>
      <c r="I174" s="9">
        <v>1</v>
      </c>
      <c r="J174" s="8"/>
      <c r="K174" s="8"/>
      <c r="L174" s="8"/>
      <c r="M174" s="8"/>
      <c r="N174" s="8"/>
      <c r="O174" s="8"/>
      <c r="P174" s="8"/>
      <c r="Q174" s="157"/>
      <c r="R174" s="8"/>
      <c r="S174" s="8"/>
      <c r="T174" s="8"/>
      <c r="U174" s="8"/>
      <c r="V174" s="8"/>
      <c r="W174" s="8"/>
      <c r="X174" s="8"/>
      <c r="Y174" s="8"/>
      <c r="Z174" s="8"/>
      <c r="AA174" s="8"/>
      <c r="AB174" s="8"/>
      <c r="AC174" s="314" t="str">
        <f t="shared" si="44"/>
        <v>yes</v>
      </c>
      <c r="AD174" s="314">
        <f>COUNTA(first:Last!R174)</f>
        <v>2</v>
      </c>
      <c r="AE174" s="157">
        <f>SUM(first:Last!Z174)</f>
        <v>0</v>
      </c>
      <c r="AF174" s="157" t="str">
        <f t="shared" si="45"/>
        <v>yes</v>
      </c>
      <c r="AG174" s="157">
        <f>COUNTA(Last:end!M174)</f>
        <v>2</v>
      </c>
      <c r="AH174" s="520">
        <f>COUNTA(Last:end!M174)/6</f>
        <v>0.33333333333333331</v>
      </c>
      <c r="AI174" s="157">
        <f>SUM(Last:end!O174)</f>
        <v>0</v>
      </c>
      <c r="AJ174" s="157">
        <f>MIN(Last:end!L174)</f>
        <v>2023</v>
      </c>
      <c r="AK174" s="157" t="e">
        <f>IF(AND(AJ174&lt;=2023,#REF!="high interest / inadequate offer "),"yes","no")</f>
        <v>#REF!</v>
      </c>
      <c r="AL174" s="157" t="str">
        <f t="shared" si="43"/>
        <v>yes</v>
      </c>
      <c r="AM174" s="157"/>
      <c r="AN174" s="157"/>
      <c r="AO174" s="157"/>
      <c r="AP174" s="157">
        <v>1</v>
      </c>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row>
    <row r="175" spans="1:209" s="26" customFormat="1" ht="62.25" customHeight="1">
      <c r="A175" s="8" t="s">
        <v>16</v>
      </c>
      <c r="B175" s="29" t="s">
        <v>195</v>
      </c>
      <c r="C175" s="8" t="s">
        <v>531</v>
      </c>
      <c r="D175" s="8" t="s">
        <v>535</v>
      </c>
      <c r="E175" s="8" t="s">
        <v>536</v>
      </c>
      <c r="F175" s="8"/>
      <c r="G175" s="8" t="s">
        <v>62</v>
      </c>
      <c r="H175" s="8" t="s">
        <v>537</v>
      </c>
      <c r="I175" s="8" t="s">
        <v>538</v>
      </c>
      <c r="J175" s="8"/>
      <c r="K175" s="8"/>
      <c r="L175" s="8"/>
      <c r="M175" s="8"/>
      <c r="N175" s="8"/>
      <c r="O175" s="8"/>
      <c r="P175" s="8"/>
      <c r="Q175" s="157"/>
      <c r="R175" s="8"/>
      <c r="S175" s="8"/>
      <c r="T175" s="8"/>
      <c r="U175" s="8"/>
      <c r="V175" s="8"/>
      <c r="W175" s="8"/>
      <c r="X175" s="8"/>
      <c r="Y175" s="8"/>
      <c r="Z175" s="8"/>
      <c r="AA175" s="8"/>
      <c r="AB175" s="8"/>
      <c r="AC175" s="314" t="str">
        <f t="shared" si="44"/>
        <v>yes</v>
      </c>
      <c r="AD175" s="314">
        <f>COUNTA(first:Last!R175)</f>
        <v>1</v>
      </c>
      <c r="AE175" s="157">
        <f>SUM(first:Last!Z175)</f>
        <v>0</v>
      </c>
      <c r="AF175" s="157" t="str">
        <f t="shared" si="45"/>
        <v>yes</v>
      </c>
      <c r="AG175" s="157">
        <f>COUNTA(Last:end!M175)</f>
        <v>3</v>
      </c>
      <c r="AH175" s="520">
        <f>COUNTA(Last:end!M175)/6</f>
        <v>0.5</v>
      </c>
      <c r="AI175" s="157">
        <f>SUM(Last:end!O175)</f>
        <v>0</v>
      </c>
      <c r="AJ175" s="157">
        <f>MIN(Last:end!L175)</f>
        <v>2023</v>
      </c>
      <c r="AK175" s="157" t="e">
        <f>IF(AND(AJ175&lt;=2023,#REF!="high interest / inadequate offer "),"yes","no")</f>
        <v>#REF!</v>
      </c>
      <c r="AL175" s="157" t="str">
        <f t="shared" si="43"/>
        <v>no</v>
      </c>
      <c r="AM175" s="157"/>
      <c r="AN175" s="157"/>
      <c r="AO175" s="157"/>
      <c r="AP175" s="157">
        <v>1</v>
      </c>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row>
    <row r="176" spans="1:209" s="26" customFormat="1" ht="62.25" customHeight="1">
      <c r="A176" s="8" t="s">
        <v>16</v>
      </c>
      <c r="B176" s="29" t="s">
        <v>195</v>
      </c>
      <c r="C176" s="8" t="s">
        <v>539</v>
      </c>
      <c r="D176" s="8" t="s">
        <v>540</v>
      </c>
      <c r="E176" s="8" t="s">
        <v>541</v>
      </c>
      <c r="F176" s="8"/>
      <c r="G176" s="8" t="s">
        <v>62</v>
      </c>
      <c r="H176" s="8" t="s">
        <v>542</v>
      </c>
      <c r="I176" s="9">
        <v>1</v>
      </c>
      <c r="J176" s="8"/>
      <c r="K176" s="8"/>
      <c r="L176" s="8"/>
      <c r="M176" s="8"/>
      <c r="N176" s="8"/>
      <c r="O176" s="8"/>
      <c r="P176" s="8"/>
      <c r="Q176" s="157"/>
      <c r="R176" s="8"/>
      <c r="S176" s="8"/>
      <c r="T176" s="8"/>
      <c r="U176" s="8"/>
      <c r="V176" s="8"/>
      <c r="W176" s="8"/>
      <c r="X176" s="8"/>
      <c r="Y176" s="8"/>
      <c r="Z176" s="8"/>
      <c r="AA176" s="8"/>
      <c r="AB176" s="8"/>
      <c r="AC176" s="314" t="str">
        <f t="shared" si="44"/>
        <v>yes</v>
      </c>
      <c r="AD176" s="314">
        <f>COUNTA(first:Last!R176)</f>
        <v>2</v>
      </c>
      <c r="AE176" s="157">
        <f>SUM(first:Last!Z176)</f>
        <v>0</v>
      </c>
      <c r="AF176" s="157" t="str">
        <f t="shared" si="45"/>
        <v>yes</v>
      </c>
      <c r="AG176" s="157">
        <f>COUNTA(Last:end!M176)</f>
        <v>1</v>
      </c>
      <c r="AH176" s="520">
        <f>COUNTA(Last:end!M176)/6</f>
        <v>0.16666666666666666</v>
      </c>
      <c r="AI176" s="157">
        <f>SUM(Last:end!O176)</f>
        <v>0</v>
      </c>
      <c r="AJ176" s="157">
        <f>MIN(Last:end!L176)</f>
        <v>2023</v>
      </c>
      <c r="AK176" s="157" t="e">
        <f>IF(AND(AJ176&lt;=2023,#REF!="high interest / inadequate offer "),"yes","no")</f>
        <v>#REF!</v>
      </c>
      <c r="AL176" s="157" t="str">
        <f t="shared" si="43"/>
        <v>yes</v>
      </c>
      <c r="AM176" s="157"/>
      <c r="AN176" s="157"/>
      <c r="AO176" s="157"/>
      <c r="AP176" s="157">
        <v>1</v>
      </c>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row>
    <row r="177" spans="1:209" ht="62.25" customHeight="1">
      <c r="A177" s="8" t="s">
        <v>16</v>
      </c>
      <c r="B177" s="29" t="s">
        <v>195</v>
      </c>
      <c r="C177" s="8" t="s">
        <v>543</v>
      </c>
      <c r="D177" s="8" t="s">
        <v>544</v>
      </c>
      <c r="E177" s="8" t="s">
        <v>253</v>
      </c>
      <c r="F177" s="8"/>
      <c r="G177" s="20" t="s">
        <v>62</v>
      </c>
      <c r="H177" s="20" t="s">
        <v>254</v>
      </c>
      <c r="I177" s="22"/>
      <c r="J177" s="20"/>
      <c r="K177" s="20"/>
      <c r="L177" s="20"/>
      <c r="M177" s="20"/>
      <c r="N177" s="20"/>
      <c r="O177" s="20"/>
      <c r="P177" s="20"/>
      <c r="Q177" s="157"/>
      <c r="R177" s="20"/>
      <c r="S177" s="20"/>
      <c r="T177" s="20"/>
      <c r="U177" s="20"/>
      <c r="V177" s="20"/>
      <c r="W177" s="20"/>
      <c r="X177" s="20"/>
      <c r="Y177" s="20"/>
      <c r="Z177" s="20"/>
      <c r="AA177" s="20"/>
      <c r="AB177" s="20"/>
      <c r="AC177" s="65"/>
      <c r="AD177" s="65"/>
      <c r="AE177" s="65"/>
      <c r="AF177" s="65"/>
      <c r="AG177" s="20">
        <f>COUNTA(Last:end!M177)</f>
        <v>0</v>
      </c>
      <c r="AH177" s="22">
        <f>COUNTA(Last:end!M177)/6</f>
        <v>0</v>
      </c>
      <c r="AI177" s="65"/>
      <c r="AJ177" s="20">
        <f>MIN(Last:end!L177)</f>
        <v>0</v>
      </c>
      <c r="AK177" s="20" t="e">
        <f>IF(AND(AJ177&lt;=2023,#REF!="high interest / inadequate offer "),"yes","no")</f>
        <v>#REF!</v>
      </c>
      <c r="AL177" s="20" t="str">
        <f t="shared" si="43"/>
        <v>no</v>
      </c>
      <c r="AM177" s="157"/>
      <c r="AN177" s="157"/>
      <c r="AO177" s="157"/>
      <c r="AP177" s="157">
        <v>0</v>
      </c>
    </row>
    <row r="178" spans="1:209" ht="62.25" customHeight="1">
      <c r="A178" s="8" t="s">
        <v>16</v>
      </c>
      <c r="B178" s="29" t="s">
        <v>195</v>
      </c>
      <c r="C178" s="8" t="s">
        <v>543</v>
      </c>
      <c r="D178" s="8" t="s">
        <v>545</v>
      </c>
      <c r="E178" s="69" t="s">
        <v>546</v>
      </c>
      <c r="F178" s="8"/>
      <c r="G178" s="8" t="s">
        <v>62</v>
      </c>
      <c r="H178" s="8" t="s">
        <v>254</v>
      </c>
      <c r="I178" s="9">
        <v>1</v>
      </c>
      <c r="J178" s="8"/>
      <c r="K178" s="8"/>
      <c r="L178" s="8"/>
      <c r="M178" s="8"/>
      <c r="N178" s="8"/>
      <c r="O178" s="8"/>
      <c r="P178" s="8"/>
      <c r="Q178" s="157"/>
      <c r="R178" s="8"/>
      <c r="S178" s="8"/>
      <c r="T178" s="8"/>
      <c r="U178" s="8"/>
      <c r="V178" s="8"/>
      <c r="W178" s="8"/>
      <c r="X178" s="8"/>
      <c r="Y178" s="8"/>
      <c r="Z178" s="8"/>
      <c r="AA178" s="8"/>
      <c r="AB178" s="8"/>
      <c r="AC178" s="314" t="str">
        <f t="shared" ref="AC178:AC183" si="46">IF(AD178&gt;0,"yes", "no")</f>
        <v>yes</v>
      </c>
      <c r="AD178" s="314">
        <f>COUNTA(first:Last!R178)</f>
        <v>2</v>
      </c>
      <c r="AE178" s="157">
        <f>SUM(first:Last!Z178)</f>
        <v>0</v>
      </c>
      <c r="AF178" s="157" t="str">
        <f t="shared" ref="AF178:AF183" si="47">IF(AH178&gt;0,"yes", "no")</f>
        <v>yes</v>
      </c>
      <c r="AG178" s="157">
        <f>COUNTA(Last:end!M178)</f>
        <v>3</v>
      </c>
      <c r="AH178" s="520">
        <f>COUNTA(Last:end!M178)/6</f>
        <v>0.5</v>
      </c>
      <c r="AI178" s="157">
        <f>SUM(Last:end!O178)</f>
        <v>0</v>
      </c>
      <c r="AJ178" s="157">
        <f>MIN(Last:end!L178)</f>
        <v>0</v>
      </c>
      <c r="AK178" s="157" t="e">
        <f>IF(AND(AJ178&lt;=2023,#REF!="high interest / inadequate offer "),"yes","no")</f>
        <v>#REF!</v>
      </c>
      <c r="AL178" s="157" t="str">
        <f t="shared" si="43"/>
        <v>yes</v>
      </c>
      <c r="AM178" s="157"/>
      <c r="AN178" s="157"/>
      <c r="AO178" s="157"/>
      <c r="AP178" s="157">
        <v>1</v>
      </c>
    </row>
    <row r="179" spans="1:209" ht="62.25" customHeight="1">
      <c r="A179" s="8" t="s">
        <v>16</v>
      </c>
      <c r="B179" s="29" t="s">
        <v>195</v>
      </c>
      <c r="C179" s="8" t="s">
        <v>543</v>
      </c>
      <c r="D179" s="8" t="s">
        <v>547</v>
      </c>
      <c r="E179" s="69" t="s">
        <v>548</v>
      </c>
      <c r="F179" s="8"/>
      <c r="G179" s="8" t="s">
        <v>58</v>
      </c>
      <c r="H179" s="8" t="s">
        <v>549</v>
      </c>
      <c r="I179" s="8" t="s">
        <v>210</v>
      </c>
      <c r="J179" s="8"/>
      <c r="K179" s="8"/>
      <c r="L179" s="8"/>
      <c r="M179" s="8"/>
      <c r="N179" s="8"/>
      <c r="O179" s="8"/>
      <c r="P179" s="8"/>
      <c r="Q179" s="157"/>
      <c r="R179" s="8"/>
      <c r="S179" s="8"/>
      <c r="T179" s="8"/>
      <c r="U179" s="8"/>
      <c r="V179" s="8"/>
      <c r="W179" s="8"/>
      <c r="X179" s="8"/>
      <c r="Y179" s="8"/>
      <c r="Z179" s="8"/>
      <c r="AA179" s="8"/>
      <c r="AB179" s="8"/>
      <c r="AC179" s="314" t="str">
        <f t="shared" si="46"/>
        <v>yes</v>
      </c>
      <c r="AD179" s="314">
        <f>COUNTA(first:Last!R179)</f>
        <v>1</v>
      </c>
      <c r="AE179" s="157">
        <f>SUM(first:Last!Z179)</f>
        <v>0</v>
      </c>
      <c r="AF179" s="157" t="str">
        <f t="shared" si="47"/>
        <v>yes</v>
      </c>
      <c r="AG179" s="157">
        <f>COUNTA(Last:end!M179)</f>
        <v>2</v>
      </c>
      <c r="AH179" s="520">
        <f>COUNTA(Last:end!M179)/6</f>
        <v>0.33333333333333331</v>
      </c>
      <c r="AI179" s="157">
        <f>SUM(Last:end!O179)</f>
        <v>0</v>
      </c>
      <c r="AJ179" s="157">
        <f>MIN(Last:end!L179)</f>
        <v>2023</v>
      </c>
      <c r="AK179" s="157" t="e">
        <f>IF(AND(AJ179&lt;=2023,#REF!="high interest / inadequate offer "),"yes","no")</f>
        <v>#REF!</v>
      </c>
      <c r="AL179" s="157" t="str">
        <f t="shared" si="43"/>
        <v>no</v>
      </c>
      <c r="AM179" s="157"/>
      <c r="AN179" s="157"/>
      <c r="AO179" s="157"/>
      <c r="AP179" s="157">
        <v>1</v>
      </c>
    </row>
    <row r="180" spans="1:209" ht="62.25" customHeight="1">
      <c r="A180" s="8" t="s">
        <v>16</v>
      </c>
      <c r="B180" s="29" t="s">
        <v>195</v>
      </c>
      <c r="C180" s="8" t="s">
        <v>543</v>
      </c>
      <c r="D180" s="8" t="s">
        <v>550</v>
      </c>
      <c r="E180" s="69" t="s">
        <v>551</v>
      </c>
      <c r="F180" s="8"/>
      <c r="G180" s="8" t="s">
        <v>58</v>
      </c>
      <c r="H180" s="8" t="s">
        <v>552</v>
      </c>
      <c r="I180" s="8" t="s">
        <v>210</v>
      </c>
      <c r="J180" s="8"/>
      <c r="K180" s="8"/>
      <c r="L180" s="8"/>
      <c r="M180" s="8"/>
      <c r="N180" s="8"/>
      <c r="O180" s="8"/>
      <c r="P180" s="8"/>
      <c r="Q180" s="157"/>
      <c r="R180" s="8"/>
      <c r="S180" s="8"/>
      <c r="T180" s="8"/>
      <c r="U180" s="8"/>
      <c r="V180" s="8"/>
      <c r="W180" s="8"/>
      <c r="X180" s="8"/>
      <c r="Y180" s="8"/>
      <c r="Z180" s="8"/>
      <c r="AA180" s="8"/>
      <c r="AB180" s="8"/>
      <c r="AC180" s="314" t="str">
        <f t="shared" si="46"/>
        <v>yes</v>
      </c>
      <c r="AD180" s="314">
        <f>COUNTA(first:Last!R180)</f>
        <v>1</v>
      </c>
      <c r="AE180" s="157">
        <f>SUM(first:Last!Z180)</f>
        <v>0</v>
      </c>
      <c r="AF180" s="157" t="str">
        <f t="shared" si="47"/>
        <v>yes</v>
      </c>
      <c r="AG180" s="157">
        <f>COUNTA(Last:end!M180)</f>
        <v>2</v>
      </c>
      <c r="AH180" s="520">
        <f>COUNTA(Last:end!M180)/6</f>
        <v>0.33333333333333331</v>
      </c>
      <c r="AI180" s="157">
        <f>SUM(Last:end!O180)</f>
        <v>0</v>
      </c>
      <c r="AJ180" s="157">
        <f>MIN(Last:end!L180)</f>
        <v>2023</v>
      </c>
      <c r="AK180" s="157" t="e">
        <f>IF(AND(AJ180&lt;=2023,#REF!="high interest / inadequate offer "),"yes","no")</f>
        <v>#REF!</v>
      </c>
      <c r="AL180" s="157" t="str">
        <f t="shared" si="43"/>
        <v>no</v>
      </c>
      <c r="AM180" s="157"/>
      <c r="AN180" s="157"/>
      <c r="AO180" s="157"/>
      <c r="AP180" s="157">
        <v>1</v>
      </c>
    </row>
    <row r="181" spans="1:209" ht="62.25" customHeight="1">
      <c r="A181" s="8" t="s">
        <v>16</v>
      </c>
      <c r="B181" s="29" t="s">
        <v>195</v>
      </c>
      <c r="C181" s="8" t="s">
        <v>543</v>
      </c>
      <c r="D181" s="8" t="s">
        <v>553</v>
      </c>
      <c r="E181" s="8" t="s">
        <v>554</v>
      </c>
      <c r="F181" s="8"/>
      <c r="G181" s="8" t="s">
        <v>62</v>
      </c>
      <c r="H181" s="8" t="s">
        <v>555</v>
      </c>
      <c r="I181" s="9">
        <v>1</v>
      </c>
      <c r="J181" s="8"/>
      <c r="K181" s="8"/>
      <c r="L181" s="8"/>
      <c r="M181" s="8"/>
      <c r="N181" s="8"/>
      <c r="O181" s="8"/>
      <c r="P181" s="8"/>
      <c r="Q181" s="157"/>
      <c r="R181" s="8"/>
      <c r="S181" s="8"/>
      <c r="T181" s="8"/>
      <c r="U181" s="8"/>
      <c r="V181" s="8"/>
      <c r="W181" s="8"/>
      <c r="X181" s="8"/>
      <c r="Y181" s="8"/>
      <c r="Z181" s="8"/>
      <c r="AA181" s="8"/>
      <c r="AB181" s="8"/>
      <c r="AC181" s="314" t="str">
        <f t="shared" si="46"/>
        <v>yes</v>
      </c>
      <c r="AD181" s="314">
        <f>COUNTA(first:Last!R181)</f>
        <v>2</v>
      </c>
      <c r="AE181" s="157">
        <f>SUM(first:Last!Z181)</f>
        <v>0</v>
      </c>
      <c r="AF181" s="157" t="str">
        <f t="shared" si="47"/>
        <v>yes</v>
      </c>
      <c r="AG181" s="157">
        <f>COUNTA(Last:end!M181)</f>
        <v>2</v>
      </c>
      <c r="AH181" s="520">
        <f>COUNTA(Last:end!M181)/6</f>
        <v>0.33333333333333331</v>
      </c>
      <c r="AI181" s="157">
        <f>SUM(Last:end!O181)</f>
        <v>0</v>
      </c>
      <c r="AJ181" s="157">
        <f>MIN(Last:end!L181)</f>
        <v>2023</v>
      </c>
      <c r="AK181" s="157" t="e">
        <f>IF(AND(AJ181&lt;=2023,#REF!="high interest / inadequate offer "),"yes","no")</f>
        <v>#REF!</v>
      </c>
      <c r="AL181" s="157" t="str">
        <f t="shared" si="43"/>
        <v>yes</v>
      </c>
      <c r="AM181" s="157"/>
      <c r="AN181" s="157"/>
      <c r="AO181" s="157"/>
      <c r="AP181" s="157">
        <v>1</v>
      </c>
    </row>
    <row r="182" spans="1:209" ht="62.25" customHeight="1">
      <c r="A182" s="8" t="s">
        <v>16</v>
      </c>
      <c r="B182" s="29" t="s">
        <v>195</v>
      </c>
      <c r="C182" s="8" t="s">
        <v>556</v>
      </c>
      <c r="D182" s="8" t="s">
        <v>557</v>
      </c>
      <c r="E182" s="8" t="s">
        <v>558</v>
      </c>
      <c r="F182" s="8"/>
      <c r="G182" s="8" t="s">
        <v>62</v>
      </c>
      <c r="H182" s="8" t="s">
        <v>559</v>
      </c>
      <c r="I182" s="8" t="s">
        <v>485</v>
      </c>
      <c r="J182" s="8"/>
      <c r="K182" s="8"/>
      <c r="L182" s="8"/>
      <c r="M182" s="8"/>
      <c r="N182" s="8"/>
      <c r="O182" s="8"/>
      <c r="P182" s="8"/>
      <c r="Q182" s="157"/>
      <c r="R182" s="8"/>
      <c r="S182" s="8"/>
      <c r="T182" s="8"/>
      <c r="U182" s="8"/>
      <c r="V182" s="8"/>
      <c r="W182" s="8"/>
      <c r="X182" s="8"/>
      <c r="Y182" s="8"/>
      <c r="Z182" s="8"/>
      <c r="AA182" s="8"/>
      <c r="AB182" s="8"/>
      <c r="AC182" s="314" t="str">
        <f t="shared" si="46"/>
        <v>no</v>
      </c>
      <c r="AD182" s="314">
        <f>COUNTA(first:Last!R182)</f>
        <v>0</v>
      </c>
      <c r="AE182" s="157">
        <f>SUM(first:Last!Z182)</f>
        <v>0</v>
      </c>
      <c r="AF182" s="157" t="str">
        <f t="shared" si="47"/>
        <v>yes</v>
      </c>
      <c r="AG182" s="157">
        <f>COUNTA(Last:end!M182)</f>
        <v>1</v>
      </c>
      <c r="AH182" s="520">
        <f>COUNTA(Last:end!M182)/6</f>
        <v>0.16666666666666666</v>
      </c>
      <c r="AI182" s="157">
        <f>SUM(Last:end!O182)</f>
        <v>0</v>
      </c>
      <c r="AJ182" s="157">
        <f>MIN(Last:end!L182)</f>
        <v>2023</v>
      </c>
      <c r="AK182" s="157" t="e">
        <f>IF(AND(AJ182&lt;=2023,#REF!="high interest / inadequate offer "),"yes","no")</f>
        <v>#REF!</v>
      </c>
      <c r="AL182" s="157" t="str">
        <f t="shared" si="43"/>
        <v>no</v>
      </c>
      <c r="AM182" s="157"/>
      <c r="AN182" s="157"/>
      <c r="AO182" s="157"/>
      <c r="AP182" s="157">
        <v>1</v>
      </c>
    </row>
    <row r="183" spans="1:209" ht="62.25" customHeight="1">
      <c r="A183" s="8" t="s">
        <v>16</v>
      </c>
      <c r="B183" s="29" t="s">
        <v>195</v>
      </c>
      <c r="C183" s="8" t="s">
        <v>556</v>
      </c>
      <c r="D183" s="8" t="s">
        <v>560</v>
      </c>
      <c r="E183" s="8" t="s">
        <v>561</v>
      </c>
      <c r="F183" s="8"/>
      <c r="G183" s="8" t="s">
        <v>62</v>
      </c>
      <c r="H183" s="8" t="s">
        <v>259</v>
      </c>
      <c r="I183" s="8" t="s">
        <v>210</v>
      </c>
      <c r="J183" s="8"/>
      <c r="K183" s="8"/>
      <c r="L183" s="8"/>
      <c r="M183" s="8"/>
      <c r="N183" s="8"/>
      <c r="O183" s="8"/>
      <c r="P183" s="8"/>
      <c r="Q183" s="157"/>
      <c r="R183" s="8"/>
      <c r="S183" s="8"/>
      <c r="T183" s="8"/>
      <c r="U183" s="8"/>
      <c r="V183" s="8"/>
      <c r="W183" s="8"/>
      <c r="X183" s="8"/>
      <c r="Y183" s="8"/>
      <c r="Z183" s="8"/>
      <c r="AA183" s="8"/>
      <c r="AB183" s="8"/>
      <c r="AC183" s="314" t="str">
        <f t="shared" si="46"/>
        <v>no</v>
      </c>
      <c r="AD183" s="314">
        <f>COUNTA(first:Last!R183)</f>
        <v>0</v>
      </c>
      <c r="AE183" s="157">
        <f>SUM(first:Last!Z183)</f>
        <v>0</v>
      </c>
      <c r="AF183" s="157" t="str">
        <f t="shared" si="47"/>
        <v>yes</v>
      </c>
      <c r="AG183" s="157">
        <f>COUNTA(Last:end!M183)</f>
        <v>1</v>
      </c>
      <c r="AH183" s="520">
        <f>COUNTA(Last:end!M183)/6</f>
        <v>0.16666666666666666</v>
      </c>
      <c r="AI183" s="157">
        <f>SUM(Last:end!O183)</f>
        <v>0</v>
      </c>
      <c r="AJ183" s="157">
        <f>MIN(Last:end!L183)</f>
        <v>0</v>
      </c>
      <c r="AK183" s="157" t="e">
        <f>IF(AND(AJ183&lt;=2023,#REF!="high interest / inadequate offer "),"yes","no")</f>
        <v>#REF!</v>
      </c>
      <c r="AL183" s="157" t="str">
        <f t="shared" si="43"/>
        <v>no</v>
      </c>
      <c r="AM183" s="157"/>
      <c r="AN183" s="157"/>
      <c r="AO183" s="157"/>
      <c r="AP183" s="157">
        <v>1</v>
      </c>
    </row>
    <row r="184" spans="1:209" ht="62.25" customHeight="1">
      <c r="A184" s="8" t="s">
        <v>16</v>
      </c>
      <c r="B184" s="29" t="s">
        <v>274</v>
      </c>
      <c r="C184" s="8" t="s">
        <v>562</v>
      </c>
      <c r="D184" s="8" t="s">
        <v>563</v>
      </c>
      <c r="E184" s="8" t="s">
        <v>564</v>
      </c>
      <c r="F184" s="8"/>
      <c r="G184" s="20" t="s">
        <v>62</v>
      </c>
      <c r="H184" s="20"/>
      <c r="I184" s="22"/>
      <c r="J184" s="20"/>
      <c r="K184" s="20"/>
      <c r="L184" s="20"/>
      <c r="M184" s="20"/>
      <c r="N184" s="20"/>
      <c r="O184" s="20"/>
      <c r="P184" s="20"/>
      <c r="Q184" s="157"/>
      <c r="R184" s="20"/>
      <c r="S184" s="20"/>
      <c r="T184" s="20"/>
      <c r="U184" s="20"/>
      <c r="V184" s="20"/>
      <c r="W184" s="20"/>
      <c r="X184" s="20"/>
      <c r="Y184" s="20"/>
      <c r="Z184" s="20"/>
      <c r="AA184" s="20"/>
      <c r="AB184" s="20"/>
      <c r="AC184" s="65"/>
      <c r="AD184" s="65"/>
      <c r="AE184" s="65"/>
      <c r="AF184" s="65"/>
      <c r="AG184" s="20">
        <f>COUNTA(Last:end!M184)</f>
        <v>0</v>
      </c>
      <c r="AH184" s="22">
        <f>COUNTA(Last:end!M184)/6</f>
        <v>0</v>
      </c>
      <c r="AI184" s="65"/>
      <c r="AJ184" s="20">
        <f>MIN(Last:end!L184)</f>
        <v>0</v>
      </c>
      <c r="AK184" s="20" t="e">
        <f>IF(AND(AJ184&lt;=2023,#REF!="high interest / inadequate offer "),"yes","no")</f>
        <v>#REF!</v>
      </c>
      <c r="AL184" s="20" t="str">
        <f t="shared" si="43"/>
        <v>no</v>
      </c>
      <c r="AM184" s="157"/>
      <c r="AN184" s="157"/>
      <c r="AO184" s="157"/>
      <c r="AP184" s="157">
        <v>0</v>
      </c>
    </row>
    <row r="185" spans="1:209" ht="62.25" customHeight="1">
      <c r="A185" s="8" t="s">
        <v>16</v>
      </c>
      <c r="B185" s="29" t="s">
        <v>274</v>
      </c>
      <c r="C185" s="8" t="s">
        <v>562</v>
      </c>
      <c r="D185" s="8" t="s">
        <v>565</v>
      </c>
      <c r="E185" s="69" t="s">
        <v>566</v>
      </c>
      <c r="F185" s="8"/>
      <c r="G185" s="8" t="s">
        <v>62</v>
      </c>
      <c r="H185" s="8" t="s">
        <v>567</v>
      </c>
      <c r="I185" s="9">
        <v>1</v>
      </c>
      <c r="J185" s="8"/>
      <c r="K185" s="8"/>
      <c r="L185" s="8"/>
      <c r="M185" s="8"/>
      <c r="N185" s="8"/>
      <c r="O185" s="8"/>
      <c r="P185" s="8"/>
      <c r="Q185" s="157"/>
      <c r="R185" s="8"/>
      <c r="S185" s="8"/>
      <c r="T185" s="8"/>
      <c r="U185" s="8"/>
      <c r="V185" s="8"/>
      <c r="W185" s="8"/>
      <c r="X185" s="8"/>
      <c r="Y185" s="8"/>
      <c r="Z185" s="8"/>
      <c r="AA185" s="8"/>
      <c r="AB185" s="8"/>
      <c r="AC185" s="314" t="str">
        <f t="shared" ref="AC185:AC189" si="48">IF(AD185&gt;0,"yes", "no")</f>
        <v>yes</v>
      </c>
      <c r="AD185" s="314">
        <f>COUNTA(first:Last!R185)</f>
        <v>4</v>
      </c>
      <c r="AE185" s="157">
        <f>SUM(first:Last!Z185)</f>
        <v>0</v>
      </c>
      <c r="AF185" s="157" t="str">
        <f t="shared" ref="AF185:AF189" si="49">IF(AH185&gt;0,"yes", "no")</f>
        <v>yes</v>
      </c>
      <c r="AG185" s="157">
        <f>COUNTA(Last:end!M185)</f>
        <v>2</v>
      </c>
      <c r="AH185" s="520">
        <f>COUNTA(Last:end!M185)/6</f>
        <v>0.33333333333333331</v>
      </c>
      <c r="AI185" s="157">
        <f>SUM(Last:end!O185)</f>
        <v>0</v>
      </c>
      <c r="AJ185" s="157">
        <f>MIN(Last:end!L185)</f>
        <v>2023</v>
      </c>
      <c r="AK185" s="157" t="e">
        <f>IF(AND(AJ185&lt;=2023,#REF!="high interest / inadequate offer "),"yes","no")</f>
        <v>#REF!</v>
      </c>
      <c r="AL185" s="157" t="str">
        <f t="shared" si="43"/>
        <v>yes</v>
      </c>
      <c r="AM185" s="157"/>
      <c r="AN185" s="157"/>
      <c r="AO185" s="157"/>
      <c r="AP185" s="157">
        <v>1</v>
      </c>
    </row>
    <row r="186" spans="1:209" ht="62.25" customHeight="1">
      <c r="A186" s="8" t="s">
        <v>16</v>
      </c>
      <c r="B186" s="29" t="s">
        <v>274</v>
      </c>
      <c r="C186" s="8" t="s">
        <v>562</v>
      </c>
      <c r="D186" s="8" t="s">
        <v>568</v>
      </c>
      <c r="E186" s="69" t="s">
        <v>569</v>
      </c>
      <c r="F186" s="8"/>
      <c r="G186" s="8" t="s">
        <v>62</v>
      </c>
      <c r="H186" s="8" t="s">
        <v>570</v>
      </c>
      <c r="I186" s="9">
        <v>1</v>
      </c>
      <c r="J186" s="8"/>
      <c r="K186" s="8"/>
      <c r="L186" s="8"/>
      <c r="M186" s="8"/>
      <c r="N186" s="8"/>
      <c r="O186" s="8"/>
      <c r="P186" s="8"/>
      <c r="Q186" s="157"/>
      <c r="R186" s="8"/>
      <c r="S186" s="8"/>
      <c r="T186" s="8"/>
      <c r="U186" s="8"/>
      <c r="V186" s="8"/>
      <c r="W186" s="8"/>
      <c r="X186" s="8"/>
      <c r="Y186" s="8"/>
      <c r="Z186" s="8"/>
      <c r="AA186" s="8"/>
      <c r="AB186" s="8"/>
      <c r="AC186" s="314" t="str">
        <f t="shared" si="48"/>
        <v>yes</v>
      </c>
      <c r="AD186" s="314">
        <f>COUNTA(first:Last!R186)</f>
        <v>3</v>
      </c>
      <c r="AE186" s="157">
        <f>SUM(first:Last!Z186)</f>
        <v>0</v>
      </c>
      <c r="AF186" s="157" t="str">
        <f t="shared" si="49"/>
        <v>yes</v>
      </c>
      <c r="AG186" s="157">
        <f>COUNTA(Last:end!M186)</f>
        <v>2</v>
      </c>
      <c r="AH186" s="520">
        <f>COUNTA(Last:end!M186)/6</f>
        <v>0.33333333333333331</v>
      </c>
      <c r="AI186" s="157">
        <f>SUM(Last:end!O186)</f>
        <v>0</v>
      </c>
      <c r="AJ186" s="157">
        <f>MIN(Last:end!L186)</f>
        <v>2023</v>
      </c>
      <c r="AK186" s="157" t="e">
        <f>IF(AND(AJ186&lt;=2023,#REF!="high interest / inadequate offer "),"yes","no")</f>
        <v>#REF!</v>
      </c>
      <c r="AL186" s="157" t="str">
        <f t="shared" si="43"/>
        <v>yes</v>
      </c>
      <c r="AM186" s="157"/>
      <c r="AN186" s="157"/>
      <c r="AO186" s="157"/>
      <c r="AP186" s="157">
        <v>1</v>
      </c>
    </row>
    <row r="187" spans="1:209" ht="62.25" customHeight="1">
      <c r="A187" s="8" t="s">
        <v>16</v>
      </c>
      <c r="B187" s="29" t="s">
        <v>274</v>
      </c>
      <c r="C187" s="8" t="s">
        <v>571</v>
      </c>
      <c r="D187" s="8" t="s">
        <v>572</v>
      </c>
      <c r="E187" s="8" t="s">
        <v>573</v>
      </c>
      <c r="F187" s="8"/>
      <c r="G187" s="8" t="s">
        <v>62</v>
      </c>
      <c r="H187" s="8" t="s">
        <v>574</v>
      </c>
      <c r="I187" s="9">
        <v>1</v>
      </c>
      <c r="J187" s="8"/>
      <c r="K187" s="8"/>
      <c r="L187" s="8"/>
      <c r="M187" s="8"/>
      <c r="N187" s="8"/>
      <c r="O187" s="8"/>
      <c r="P187" s="8"/>
      <c r="Q187" s="157"/>
      <c r="R187" s="8"/>
      <c r="S187" s="8"/>
      <c r="T187" s="8"/>
      <c r="U187" s="8"/>
      <c r="V187" s="8"/>
      <c r="W187" s="8"/>
      <c r="X187" s="8"/>
      <c r="Y187" s="8"/>
      <c r="Z187" s="8"/>
      <c r="AA187" s="8"/>
      <c r="AB187" s="8"/>
      <c r="AC187" s="314" t="str">
        <f t="shared" si="48"/>
        <v>yes</v>
      </c>
      <c r="AD187" s="314">
        <f>COUNTA(first:Last!R187)</f>
        <v>4</v>
      </c>
      <c r="AE187" s="157">
        <f>SUM(first:Last!Z187)</f>
        <v>0</v>
      </c>
      <c r="AF187" s="157" t="str">
        <f t="shared" si="49"/>
        <v>yes</v>
      </c>
      <c r="AG187" s="157">
        <f>COUNTA(Last:end!M187)</f>
        <v>3</v>
      </c>
      <c r="AH187" s="520">
        <f>COUNTA(Last:end!M187)/6</f>
        <v>0.5</v>
      </c>
      <c r="AI187" s="157">
        <f>SUM(Last:end!O187)</f>
        <v>0</v>
      </c>
      <c r="AJ187" s="157">
        <f>MIN(Last:end!L187)</f>
        <v>0</v>
      </c>
      <c r="AK187" s="157" t="e">
        <f>IF(AND(AJ187&lt;=2023,#REF!="high interest / inadequate offer "),"yes","no")</f>
        <v>#REF!</v>
      </c>
      <c r="AL187" s="157" t="str">
        <f t="shared" si="43"/>
        <v>yes</v>
      </c>
      <c r="AM187" s="157"/>
      <c r="AN187" s="157"/>
      <c r="AO187" s="157"/>
      <c r="AP187" s="157">
        <v>1</v>
      </c>
    </row>
    <row r="188" spans="1:209" ht="62.25" customHeight="1">
      <c r="A188" s="8" t="s">
        <v>16</v>
      </c>
      <c r="B188" s="29" t="s">
        <v>274</v>
      </c>
      <c r="C188" s="8" t="s">
        <v>571</v>
      </c>
      <c r="D188" s="8" t="s">
        <v>575</v>
      </c>
      <c r="E188" s="8" t="s">
        <v>576</v>
      </c>
      <c r="F188" s="8"/>
      <c r="G188" s="8" t="s">
        <v>62</v>
      </c>
      <c r="H188" s="8" t="s">
        <v>577</v>
      </c>
      <c r="I188" s="9">
        <v>1</v>
      </c>
      <c r="J188" s="8"/>
      <c r="K188" s="8"/>
      <c r="L188" s="8"/>
      <c r="M188" s="8"/>
      <c r="N188" s="8"/>
      <c r="O188" s="8"/>
      <c r="P188" s="8"/>
      <c r="Q188" s="157"/>
      <c r="R188" s="8"/>
      <c r="S188" s="8"/>
      <c r="T188" s="8"/>
      <c r="U188" s="8"/>
      <c r="V188" s="8"/>
      <c r="W188" s="8"/>
      <c r="X188" s="8"/>
      <c r="Y188" s="8"/>
      <c r="Z188" s="8"/>
      <c r="AA188" s="8"/>
      <c r="AB188" s="8"/>
      <c r="AC188" s="314" t="str">
        <f t="shared" si="48"/>
        <v>yes</v>
      </c>
      <c r="AD188" s="314">
        <f>COUNTA(first:Last!R188)</f>
        <v>3</v>
      </c>
      <c r="AE188" s="157">
        <f>SUM(first:Last!Z188)</f>
        <v>0</v>
      </c>
      <c r="AF188" s="157" t="str">
        <f t="shared" si="49"/>
        <v>yes</v>
      </c>
      <c r="AG188" s="157">
        <f>COUNTA(Last:end!M188)</f>
        <v>2</v>
      </c>
      <c r="AH188" s="520">
        <f>COUNTA(Last:end!M188)/6</f>
        <v>0.33333333333333331</v>
      </c>
      <c r="AI188" s="157">
        <f>SUM(Last:end!O188)</f>
        <v>0</v>
      </c>
      <c r="AJ188" s="157">
        <f>MIN(Last:end!L188)</f>
        <v>2023</v>
      </c>
      <c r="AK188" s="157" t="e">
        <f>IF(AND(AJ188&lt;=2023,#REF!="high interest / inadequate offer "),"yes","no")</f>
        <v>#REF!</v>
      </c>
      <c r="AL188" s="157" t="str">
        <f t="shared" si="43"/>
        <v>yes</v>
      </c>
      <c r="AM188" s="157"/>
      <c r="AN188" s="157"/>
      <c r="AO188" s="157"/>
      <c r="AP188" s="157">
        <v>1</v>
      </c>
    </row>
    <row r="189" spans="1:209" ht="62.25" customHeight="1">
      <c r="A189" s="8" t="s">
        <v>16</v>
      </c>
      <c r="B189" s="29" t="s">
        <v>274</v>
      </c>
      <c r="C189" s="8" t="s">
        <v>571</v>
      </c>
      <c r="D189" s="8" t="s">
        <v>578</v>
      </c>
      <c r="E189" s="8" t="s">
        <v>579</v>
      </c>
      <c r="F189" s="8"/>
      <c r="G189" s="8" t="s">
        <v>62</v>
      </c>
      <c r="H189" s="8" t="s">
        <v>580</v>
      </c>
      <c r="I189" s="9">
        <v>1</v>
      </c>
      <c r="J189" s="8"/>
      <c r="K189" s="8"/>
      <c r="L189" s="8"/>
      <c r="M189" s="8"/>
      <c r="N189" s="8"/>
      <c r="O189" s="8"/>
      <c r="P189" s="8"/>
      <c r="Q189" s="157"/>
      <c r="R189" s="8"/>
      <c r="S189" s="8"/>
      <c r="T189" s="8"/>
      <c r="U189" s="8"/>
      <c r="V189" s="8"/>
      <c r="W189" s="8"/>
      <c r="X189" s="8"/>
      <c r="Y189" s="8"/>
      <c r="Z189" s="8"/>
      <c r="AA189" s="8"/>
      <c r="AB189" s="8"/>
      <c r="AC189" s="314" t="str">
        <f t="shared" si="48"/>
        <v>yes</v>
      </c>
      <c r="AD189" s="314">
        <f>COUNTA(first:Last!R189)</f>
        <v>4</v>
      </c>
      <c r="AE189" s="157">
        <f>SUM(first:Last!Z189)</f>
        <v>0</v>
      </c>
      <c r="AF189" s="157" t="str">
        <f t="shared" si="49"/>
        <v>yes</v>
      </c>
      <c r="AG189" s="157">
        <f>COUNTA(Last:end!M189)</f>
        <v>3</v>
      </c>
      <c r="AH189" s="520">
        <f>COUNTA(Last:end!M189)/6</f>
        <v>0.5</v>
      </c>
      <c r="AI189" s="157">
        <f>SUM(Last:end!O189)</f>
        <v>0</v>
      </c>
      <c r="AJ189" s="157">
        <f>MIN(Last:end!L189)</f>
        <v>2023</v>
      </c>
      <c r="AK189" s="157" t="e">
        <f>IF(AND(AJ189&lt;=2023,#REF!="high interest / inadequate offer "),"yes","no")</f>
        <v>#REF!</v>
      </c>
      <c r="AL189" s="157" t="str">
        <f t="shared" si="43"/>
        <v>yes</v>
      </c>
      <c r="AM189" s="157"/>
      <c r="AN189" s="157"/>
      <c r="AO189" s="157"/>
      <c r="AP189" s="157">
        <v>1</v>
      </c>
    </row>
    <row r="190" spans="1:209" s="5" customFormat="1" ht="47.25">
      <c r="A190" s="20" t="s">
        <v>16</v>
      </c>
      <c r="B190" s="30" t="s">
        <v>274</v>
      </c>
      <c r="C190" s="19" t="s">
        <v>581</v>
      </c>
      <c r="D190" s="19" t="s">
        <v>582</v>
      </c>
      <c r="E190" s="19" t="s">
        <v>582</v>
      </c>
      <c r="F190" s="19" t="s">
        <v>582</v>
      </c>
      <c r="G190" s="19" t="s">
        <v>582</v>
      </c>
      <c r="H190" s="19" t="s">
        <v>582</v>
      </c>
      <c r="I190" s="19" t="s">
        <v>582</v>
      </c>
      <c r="J190" s="19" t="s">
        <v>582</v>
      </c>
      <c r="K190" s="19" t="s">
        <v>582</v>
      </c>
      <c r="L190" s="19" t="s">
        <v>582</v>
      </c>
      <c r="M190" s="19" t="s">
        <v>582</v>
      </c>
      <c r="N190" s="19" t="s">
        <v>582</v>
      </c>
      <c r="O190" s="19" t="s">
        <v>582</v>
      </c>
      <c r="P190" s="19" t="s">
        <v>582</v>
      </c>
      <c r="Q190" s="549"/>
      <c r="R190" s="19" t="s">
        <v>582</v>
      </c>
      <c r="S190" s="19" t="s">
        <v>582</v>
      </c>
      <c r="T190" s="19" t="s">
        <v>582</v>
      </c>
      <c r="U190" s="19"/>
      <c r="V190" s="19" t="s">
        <v>582</v>
      </c>
      <c r="W190" s="19" t="s">
        <v>582</v>
      </c>
      <c r="X190" s="19" t="s">
        <v>582</v>
      </c>
      <c r="Y190" s="19" t="s">
        <v>582</v>
      </c>
      <c r="Z190" s="19" t="s">
        <v>582</v>
      </c>
      <c r="AA190" s="19" t="s">
        <v>582</v>
      </c>
      <c r="AB190" s="19"/>
      <c r="AC190" s="157"/>
      <c r="AD190" s="157"/>
      <c r="AE190" s="157"/>
      <c r="AF190" s="157"/>
      <c r="AG190" s="157"/>
      <c r="AH190" s="157"/>
      <c r="AI190" s="157"/>
      <c r="AJ190" s="157"/>
      <c r="AK190" s="157"/>
      <c r="AL190" s="157"/>
      <c r="AM190" s="157"/>
      <c r="AN190" s="157"/>
      <c r="AO190" s="157"/>
      <c r="AP190" s="157">
        <v>0</v>
      </c>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row>
    <row r="191" spans="1:209" ht="62.25" customHeight="1">
      <c r="A191" s="8" t="s">
        <v>16</v>
      </c>
      <c r="B191" s="29" t="s">
        <v>274</v>
      </c>
      <c r="C191" s="8" t="s">
        <v>583</v>
      </c>
      <c r="D191" s="8" t="s">
        <v>584</v>
      </c>
      <c r="E191" s="8" t="s">
        <v>585</v>
      </c>
      <c r="F191" s="8"/>
      <c r="G191" s="8" t="s">
        <v>62</v>
      </c>
      <c r="H191" s="8" t="s">
        <v>586</v>
      </c>
      <c r="I191" s="9">
        <v>1</v>
      </c>
      <c r="J191" s="8"/>
      <c r="K191" s="8"/>
      <c r="L191" s="8"/>
      <c r="M191" s="8"/>
      <c r="N191" s="8"/>
      <c r="O191" s="8"/>
      <c r="P191" s="8"/>
      <c r="Q191" s="157"/>
      <c r="R191" s="8"/>
      <c r="S191" s="8"/>
      <c r="T191" s="8"/>
      <c r="U191" s="8"/>
      <c r="V191" s="8"/>
      <c r="W191" s="8"/>
      <c r="X191" s="8"/>
      <c r="Y191" s="8"/>
      <c r="Z191" s="8"/>
      <c r="AA191" s="8"/>
      <c r="AB191" s="8"/>
      <c r="AC191" s="314" t="str">
        <f t="shared" ref="AC191:AC192" si="50">IF(AD191&gt;0,"yes", "no")</f>
        <v>yes</v>
      </c>
      <c r="AD191" s="314">
        <f>COUNTA(first:Last!R191)</f>
        <v>1</v>
      </c>
      <c r="AE191" s="157">
        <f>SUM(first:Last!Z191)</f>
        <v>0</v>
      </c>
      <c r="AF191" s="157" t="str">
        <f t="shared" ref="AF191:AF192" si="51">IF(AH191&gt;0,"yes", "no")</f>
        <v>yes</v>
      </c>
      <c r="AG191" s="157">
        <f>COUNTA(Last:end!M191)</f>
        <v>2</v>
      </c>
      <c r="AH191" s="520">
        <f>COUNTA(Last:end!M191)/6</f>
        <v>0.33333333333333331</v>
      </c>
      <c r="AI191" s="157">
        <f>SUM(Last:end!O191)</f>
        <v>0</v>
      </c>
      <c r="AJ191" s="157">
        <f>MIN(Last:end!L191)</f>
        <v>2023</v>
      </c>
      <c r="AK191" s="157" t="e">
        <f>IF(AND(AJ191&lt;=2023,#REF!="high interest / inadequate offer "),"yes","no")</f>
        <v>#REF!</v>
      </c>
      <c r="AL191" s="157" t="str">
        <f t="shared" ref="AL191:AL213" si="52">IF(AD191&gt;1,"yes", "no")</f>
        <v>no</v>
      </c>
      <c r="AM191" s="157"/>
      <c r="AN191" s="157"/>
      <c r="AO191" s="157"/>
      <c r="AP191" s="157">
        <v>1</v>
      </c>
    </row>
    <row r="192" spans="1:209" ht="62.25" customHeight="1">
      <c r="A192" s="8" t="s">
        <v>16</v>
      </c>
      <c r="B192" s="29" t="s">
        <v>587</v>
      </c>
      <c r="C192" s="8" t="s">
        <v>588</v>
      </c>
      <c r="D192" s="8" t="s">
        <v>589</v>
      </c>
      <c r="E192" s="8" t="s">
        <v>590</v>
      </c>
      <c r="F192" s="8"/>
      <c r="G192" s="8" t="s">
        <v>62</v>
      </c>
      <c r="H192" s="8" t="s">
        <v>591</v>
      </c>
      <c r="I192" s="9">
        <v>1</v>
      </c>
      <c r="J192" s="8"/>
      <c r="K192" s="8"/>
      <c r="L192" s="8"/>
      <c r="M192" s="8"/>
      <c r="N192" s="8"/>
      <c r="O192" s="8"/>
      <c r="P192" s="8"/>
      <c r="Q192" s="157"/>
      <c r="R192" s="8"/>
      <c r="S192" s="8"/>
      <c r="T192" s="8"/>
      <c r="U192" s="8"/>
      <c r="V192" s="8"/>
      <c r="W192" s="8"/>
      <c r="X192" s="8"/>
      <c r="Y192" s="8"/>
      <c r="Z192" s="8"/>
      <c r="AA192" s="8"/>
      <c r="AB192" s="8"/>
      <c r="AC192" s="314" t="str">
        <f t="shared" si="50"/>
        <v>yes</v>
      </c>
      <c r="AD192" s="314">
        <f>COUNTA(first:Last!R192)</f>
        <v>1</v>
      </c>
      <c r="AE192" s="157">
        <f>SUM(first:Last!Z192)</f>
        <v>0</v>
      </c>
      <c r="AF192" s="157" t="str">
        <f t="shared" si="51"/>
        <v>yes</v>
      </c>
      <c r="AG192" s="157">
        <f>COUNTA(Last:end!M192)</f>
        <v>2</v>
      </c>
      <c r="AH192" s="520">
        <f>COUNTA(Last:end!M192)/6</f>
        <v>0.33333333333333331</v>
      </c>
      <c r="AI192" s="157">
        <f>SUM(Last:end!O192)</f>
        <v>0</v>
      </c>
      <c r="AJ192" s="157">
        <f>MIN(Last:end!L192)</f>
        <v>2023</v>
      </c>
      <c r="AK192" s="157" t="e">
        <f>IF(AND(AJ192&lt;=2023,#REF!="high interest / inadequate offer "),"yes","no")</f>
        <v>#REF!</v>
      </c>
      <c r="AL192" s="157" t="str">
        <f t="shared" si="52"/>
        <v>no</v>
      </c>
      <c r="AM192" s="157"/>
      <c r="AN192" s="157"/>
      <c r="AO192" s="157"/>
      <c r="AP192" s="157">
        <v>1</v>
      </c>
    </row>
    <row r="193" spans="1:209" s="26" customFormat="1" ht="62.25" customHeight="1">
      <c r="A193" s="8" t="s">
        <v>16</v>
      </c>
      <c r="B193" s="29" t="s">
        <v>587</v>
      </c>
      <c r="C193" s="8" t="s">
        <v>588</v>
      </c>
      <c r="D193" s="8" t="s">
        <v>592</v>
      </c>
      <c r="E193" s="8" t="s">
        <v>351</v>
      </c>
      <c r="F193" s="8"/>
      <c r="G193" s="20" t="s">
        <v>62</v>
      </c>
      <c r="H193" s="20" t="s">
        <v>352</v>
      </c>
      <c r="I193" s="22">
        <v>1</v>
      </c>
      <c r="J193" s="20"/>
      <c r="K193" s="20"/>
      <c r="L193" s="20"/>
      <c r="M193" s="20"/>
      <c r="N193" s="20"/>
      <c r="O193" s="20"/>
      <c r="P193" s="20"/>
      <c r="Q193" s="157"/>
      <c r="R193" s="20"/>
      <c r="S193" s="20"/>
      <c r="T193" s="20"/>
      <c r="U193" s="20"/>
      <c r="V193" s="20"/>
      <c r="W193" s="20"/>
      <c r="X193" s="20"/>
      <c r="Y193" s="20"/>
      <c r="Z193" s="20"/>
      <c r="AA193" s="20"/>
      <c r="AB193" s="20"/>
      <c r="AC193" s="65"/>
      <c r="AD193" s="65"/>
      <c r="AE193" s="65"/>
      <c r="AF193" s="65"/>
      <c r="AG193" s="20">
        <f>COUNTA(Last:end!M193)</f>
        <v>0</v>
      </c>
      <c r="AH193" s="22">
        <f>COUNTA(Last:end!M193)/6</f>
        <v>0</v>
      </c>
      <c r="AI193" s="65"/>
      <c r="AJ193" s="20">
        <f>MIN(Last:end!L193)</f>
        <v>0</v>
      </c>
      <c r="AK193" s="20" t="e">
        <f>IF(AND(AJ193&lt;=2023,#REF!="high interest / inadequate offer "),"yes","no")</f>
        <v>#REF!</v>
      </c>
      <c r="AL193" s="20" t="str">
        <f t="shared" si="52"/>
        <v>no</v>
      </c>
      <c r="AM193" s="157"/>
      <c r="AN193" s="157"/>
      <c r="AO193" s="157"/>
      <c r="AP193" s="157">
        <v>0</v>
      </c>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row>
    <row r="194" spans="1:209" s="26" customFormat="1" ht="62.25" customHeight="1">
      <c r="A194" s="8" t="s">
        <v>16</v>
      </c>
      <c r="B194" s="29" t="s">
        <v>587</v>
      </c>
      <c r="C194" s="8" t="s">
        <v>588</v>
      </c>
      <c r="D194" s="8" t="s">
        <v>593</v>
      </c>
      <c r="E194" s="69" t="s">
        <v>594</v>
      </c>
      <c r="F194" s="8"/>
      <c r="G194" s="8" t="s">
        <v>62</v>
      </c>
      <c r="H194" s="8" t="s">
        <v>352</v>
      </c>
      <c r="I194" s="9">
        <v>1</v>
      </c>
      <c r="J194" s="8"/>
      <c r="K194" s="8"/>
      <c r="L194" s="8"/>
      <c r="M194" s="8"/>
      <c r="N194" s="8"/>
      <c r="O194" s="8"/>
      <c r="P194" s="8"/>
      <c r="Q194" s="157"/>
      <c r="R194" s="8"/>
      <c r="S194" s="8"/>
      <c r="T194" s="8"/>
      <c r="U194" s="8"/>
      <c r="V194" s="8"/>
      <c r="W194" s="8"/>
      <c r="X194" s="8"/>
      <c r="Y194" s="8"/>
      <c r="Z194" s="8"/>
      <c r="AA194" s="8"/>
      <c r="AB194" s="8"/>
      <c r="AC194" s="314" t="str">
        <f t="shared" ref="AC194:AC213" si="53">IF(AD194&gt;0,"yes", "no")</f>
        <v>yes</v>
      </c>
      <c r="AD194" s="314">
        <f>COUNTA(first:Last!R194)</f>
        <v>1</v>
      </c>
      <c r="AE194" s="157">
        <f>SUM(first:Last!Z194)</f>
        <v>0</v>
      </c>
      <c r="AF194" s="157" t="str">
        <f t="shared" ref="AF194:AF213" si="54">IF(AH194&gt;0,"yes", "no")</f>
        <v>yes</v>
      </c>
      <c r="AG194" s="157">
        <f>COUNTA(Last:end!M194)</f>
        <v>2</v>
      </c>
      <c r="AH194" s="520">
        <f>COUNTA(Last:end!M194)/6</f>
        <v>0.33333333333333331</v>
      </c>
      <c r="AI194" s="157">
        <f>SUM(Last:end!O194)</f>
        <v>0</v>
      </c>
      <c r="AJ194" s="157">
        <f>MIN(Last:end!L194)</f>
        <v>2023</v>
      </c>
      <c r="AK194" s="157" t="e">
        <f>IF(AND(AJ194&lt;=2023,#REF!="high interest / inadequate offer "),"yes","no")</f>
        <v>#REF!</v>
      </c>
      <c r="AL194" s="157" t="str">
        <f t="shared" si="52"/>
        <v>no</v>
      </c>
      <c r="AM194" s="157"/>
      <c r="AN194" s="157"/>
      <c r="AO194" s="157"/>
      <c r="AP194" s="157">
        <v>1</v>
      </c>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row>
    <row r="195" spans="1:209" s="26" customFormat="1" ht="62.25" customHeight="1">
      <c r="A195" s="8" t="s">
        <v>16</v>
      </c>
      <c r="B195" s="29" t="s">
        <v>587</v>
      </c>
      <c r="C195" s="8" t="s">
        <v>588</v>
      </c>
      <c r="D195" s="8" t="s">
        <v>593</v>
      </c>
      <c r="E195" s="69" t="s">
        <v>595</v>
      </c>
      <c r="F195" s="8"/>
      <c r="G195" s="8" t="s">
        <v>62</v>
      </c>
      <c r="H195" s="8" t="s">
        <v>352</v>
      </c>
      <c r="I195" s="9">
        <v>1</v>
      </c>
      <c r="J195" s="8"/>
      <c r="K195" s="8"/>
      <c r="L195" s="8"/>
      <c r="M195" s="8"/>
      <c r="N195" s="8"/>
      <c r="O195" s="8"/>
      <c r="P195" s="8"/>
      <c r="Q195" s="157"/>
      <c r="R195" s="8"/>
      <c r="S195" s="8"/>
      <c r="T195" s="8"/>
      <c r="U195" s="8"/>
      <c r="V195" s="8"/>
      <c r="W195" s="8"/>
      <c r="X195" s="8"/>
      <c r="Y195" s="8"/>
      <c r="Z195" s="8"/>
      <c r="AA195" s="8"/>
      <c r="AB195" s="8"/>
      <c r="AC195" s="314" t="str">
        <f t="shared" si="53"/>
        <v>yes</v>
      </c>
      <c r="AD195" s="314">
        <f>COUNTA(first:Last!R195)</f>
        <v>1</v>
      </c>
      <c r="AE195" s="157">
        <f>SUM(first:Last!Z195)</f>
        <v>0</v>
      </c>
      <c r="AF195" s="157" t="str">
        <f t="shared" si="54"/>
        <v>yes</v>
      </c>
      <c r="AG195" s="157">
        <f>COUNTA(Last:end!M195)</f>
        <v>2</v>
      </c>
      <c r="AH195" s="520">
        <f>COUNTA(Last:end!M195)/6</f>
        <v>0.33333333333333331</v>
      </c>
      <c r="AI195" s="157">
        <f>SUM(Last:end!O195)</f>
        <v>0</v>
      </c>
      <c r="AJ195" s="157">
        <f>MIN(Last:end!L195)</f>
        <v>2023</v>
      </c>
      <c r="AK195" s="157" t="e">
        <f>IF(AND(AJ195&lt;=2023,#REF!="high interest / inadequate offer "),"yes","no")</f>
        <v>#REF!</v>
      </c>
      <c r="AL195" s="157" t="str">
        <f t="shared" si="52"/>
        <v>no</v>
      </c>
      <c r="AM195" s="157"/>
      <c r="AN195" s="157"/>
      <c r="AO195" s="157"/>
      <c r="AP195" s="157">
        <v>1</v>
      </c>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row>
    <row r="196" spans="1:209" s="26" customFormat="1" ht="62.25" customHeight="1">
      <c r="A196" s="8" t="s">
        <v>16</v>
      </c>
      <c r="B196" s="29" t="s">
        <v>587</v>
      </c>
      <c r="C196" s="8" t="s">
        <v>588</v>
      </c>
      <c r="D196" s="8" t="s">
        <v>593</v>
      </c>
      <c r="E196" s="69" t="s">
        <v>596</v>
      </c>
      <c r="F196" s="8"/>
      <c r="G196" s="8" t="s">
        <v>62</v>
      </c>
      <c r="H196" s="8" t="s">
        <v>352</v>
      </c>
      <c r="I196" s="9">
        <v>1</v>
      </c>
      <c r="J196" s="8"/>
      <c r="K196" s="8"/>
      <c r="L196" s="8"/>
      <c r="M196" s="8"/>
      <c r="N196" s="8"/>
      <c r="O196" s="8"/>
      <c r="P196" s="8"/>
      <c r="Q196" s="157"/>
      <c r="R196" s="8"/>
      <c r="S196" s="8"/>
      <c r="T196" s="8"/>
      <c r="U196" s="8"/>
      <c r="V196" s="8"/>
      <c r="W196" s="8"/>
      <c r="X196" s="8"/>
      <c r="Y196" s="8"/>
      <c r="Z196" s="8"/>
      <c r="AA196" s="8"/>
      <c r="AB196" s="8"/>
      <c r="AC196" s="314" t="str">
        <f t="shared" si="53"/>
        <v>yes</v>
      </c>
      <c r="AD196" s="314">
        <f>COUNTA(first:Last!R196)</f>
        <v>1</v>
      </c>
      <c r="AE196" s="157">
        <f>SUM(first:Last!Z196)</f>
        <v>0</v>
      </c>
      <c r="AF196" s="157" t="str">
        <f t="shared" si="54"/>
        <v>yes</v>
      </c>
      <c r="AG196" s="157">
        <f>COUNTA(Last:end!M196)</f>
        <v>2</v>
      </c>
      <c r="AH196" s="520">
        <f>COUNTA(Last:end!M196)/6</f>
        <v>0.33333333333333331</v>
      </c>
      <c r="AI196" s="157">
        <f>SUM(Last:end!O196)</f>
        <v>0</v>
      </c>
      <c r="AJ196" s="157">
        <f>MIN(Last:end!L196)</f>
        <v>2023</v>
      </c>
      <c r="AK196" s="157" t="e">
        <f>IF(AND(AJ196&lt;=2023,#REF!="high interest / inadequate offer "),"yes","no")</f>
        <v>#REF!</v>
      </c>
      <c r="AL196" s="157" t="str">
        <f t="shared" si="52"/>
        <v>no</v>
      </c>
      <c r="AM196" s="157"/>
      <c r="AN196" s="157"/>
      <c r="AO196" s="157"/>
      <c r="AP196" s="157">
        <v>1</v>
      </c>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row>
    <row r="197" spans="1:209" s="26" customFormat="1" ht="62.25" customHeight="1">
      <c r="A197" s="8" t="s">
        <v>16</v>
      </c>
      <c r="B197" s="29" t="s">
        <v>587</v>
      </c>
      <c r="C197" s="8" t="s">
        <v>588</v>
      </c>
      <c r="D197" s="8" t="s">
        <v>593</v>
      </c>
      <c r="E197" s="69" t="s">
        <v>597</v>
      </c>
      <c r="F197" s="8"/>
      <c r="G197" s="8" t="s">
        <v>62</v>
      </c>
      <c r="H197" s="8" t="s">
        <v>352</v>
      </c>
      <c r="I197" s="9">
        <v>1</v>
      </c>
      <c r="J197" s="8"/>
      <c r="K197" s="8"/>
      <c r="L197" s="8"/>
      <c r="M197" s="8"/>
      <c r="N197" s="8"/>
      <c r="O197" s="8"/>
      <c r="P197" s="8"/>
      <c r="Q197" s="157"/>
      <c r="R197" s="8"/>
      <c r="S197" s="8"/>
      <c r="T197" s="8"/>
      <c r="U197" s="8"/>
      <c r="V197" s="8"/>
      <c r="W197" s="8"/>
      <c r="X197" s="8"/>
      <c r="Y197" s="8"/>
      <c r="Z197" s="8"/>
      <c r="AA197" s="8"/>
      <c r="AB197" s="8"/>
      <c r="AC197" s="314" t="str">
        <f t="shared" si="53"/>
        <v>yes</v>
      </c>
      <c r="AD197" s="314">
        <f>COUNTA(first:Last!R197)</f>
        <v>1</v>
      </c>
      <c r="AE197" s="157">
        <f>SUM(first:Last!Z197)</f>
        <v>0</v>
      </c>
      <c r="AF197" s="157" t="str">
        <f t="shared" si="54"/>
        <v>yes</v>
      </c>
      <c r="AG197" s="157">
        <f>COUNTA(Last:end!M197)</f>
        <v>2</v>
      </c>
      <c r="AH197" s="520">
        <f>COUNTA(Last:end!M197)/6</f>
        <v>0.33333333333333331</v>
      </c>
      <c r="AI197" s="157">
        <f>SUM(Last:end!O197)</f>
        <v>0</v>
      </c>
      <c r="AJ197" s="157">
        <f>MIN(Last:end!L197)</f>
        <v>2023</v>
      </c>
      <c r="AK197" s="157" t="e">
        <f>IF(AND(AJ197&lt;=2023,#REF!="high interest / inadequate offer "),"yes","no")</f>
        <v>#REF!</v>
      </c>
      <c r="AL197" s="157" t="str">
        <f t="shared" si="52"/>
        <v>no</v>
      </c>
      <c r="AM197" s="157"/>
      <c r="AN197" s="157"/>
      <c r="AO197" s="157"/>
      <c r="AP197" s="157">
        <v>1</v>
      </c>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row>
    <row r="198" spans="1:209" s="26" customFormat="1" ht="62.25" customHeight="1">
      <c r="A198" s="8" t="s">
        <v>16</v>
      </c>
      <c r="B198" s="29" t="s">
        <v>587</v>
      </c>
      <c r="C198" s="8" t="s">
        <v>588</v>
      </c>
      <c r="D198" s="8" t="s">
        <v>598</v>
      </c>
      <c r="E198" s="69" t="s">
        <v>599</v>
      </c>
      <c r="F198" s="8"/>
      <c r="G198" s="8" t="s">
        <v>62</v>
      </c>
      <c r="H198" s="8" t="s">
        <v>352</v>
      </c>
      <c r="I198" s="9">
        <v>1</v>
      </c>
      <c r="J198" s="8"/>
      <c r="K198" s="8"/>
      <c r="L198" s="8"/>
      <c r="M198" s="8"/>
      <c r="N198" s="8"/>
      <c r="O198" s="8"/>
      <c r="P198" s="8"/>
      <c r="Q198" s="157"/>
      <c r="R198" s="8"/>
      <c r="S198" s="8"/>
      <c r="T198" s="8"/>
      <c r="U198" s="8"/>
      <c r="V198" s="8"/>
      <c r="W198" s="8"/>
      <c r="X198" s="8"/>
      <c r="Y198" s="8"/>
      <c r="Z198" s="8"/>
      <c r="AA198" s="8"/>
      <c r="AB198" s="8"/>
      <c r="AC198" s="314" t="str">
        <f t="shared" si="53"/>
        <v>yes</v>
      </c>
      <c r="AD198" s="314">
        <f>COUNTA(first:Last!R198)</f>
        <v>1</v>
      </c>
      <c r="AE198" s="157">
        <f>SUM(first:Last!Z198)</f>
        <v>0</v>
      </c>
      <c r="AF198" s="157" t="str">
        <f t="shared" si="54"/>
        <v>yes</v>
      </c>
      <c r="AG198" s="157">
        <f>COUNTA(Last:end!M198)</f>
        <v>2</v>
      </c>
      <c r="AH198" s="520">
        <f>COUNTA(Last:end!M198)/6</f>
        <v>0.33333333333333331</v>
      </c>
      <c r="AI198" s="157">
        <f>SUM(Last:end!O198)</f>
        <v>0</v>
      </c>
      <c r="AJ198" s="157">
        <f>MIN(Last:end!L198)</f>
        <v>2023</v>
      </c>
      <c r="AK198" s="157" t="e">
        <f>IF(AND(AJ198&lt;=2023,#REF!="high interest / inadequate offer "),"yes","no")</f>
        <v>#REF!</v>
      </c>
      <c r="AL198" s="157" t="str">
        <f t="shared" si="52"/>
        <v>no</v>
      </c>
      <c r="AM198" s="157"/>
      <c r="AN198" s="157"/>
      <c r="AO198" s="157"/>
      <c r="AP198" s="157">
        <v>1</v>
      </c>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row>
    <row r="199" spans="1:209" s="26" customFormat="1" ht="62.25" customHeight="1">
      <c r="A199" s="8" t="s">
        <v>16</v>
      </c>
      <c r="B199" s="29" t="s">
        <v>587</v>
      </c>
      <c r="C199" s="8" t="s">
        <v>588</v>
      </c>
      <c r="D199" s="8" t="s">
        <v>600</v>
      </c>
      <c r="E199" s="69" t="s">
        <v>601</v>
      </c>
      <c r="F199" s="8"/>
      <c r="G199" s="8" t="s">
        <v>62</v>
      </c>
      <c r="H199" s="8" t="s">
        <v>352</v>
      </c>
      <c r="I199" s="9">
        <v>1</v>
      </c>
      <c r="J199" s="8"/>
      <c r="K199" s="8"/>
      <c r="L199" s="8"/>
      <c r="M199" s="8"/>
      <c r="N199" s="8"/>
      <c r="O199" s="8"/>
      <c r="P199" s="8"/>
      <c r="Q199" s="157"/>
      <c r="R199" s="8"/>
      <c r="S199" s="8"/>
      <c r="T199" s="8"/>
      <c r="U199" s="8"/>
      <c r="V199" s="8"/>
      <c r="W199" s="8"/>
      <c r="X199" s="8"/>
      <c r="Y199" s="8"/>
      <c r="Z199" s="8"/>
      <c r="AA199" s="8"/>
      <c r="AB199" s="8"/>
      <c r="AC199" s="314" t="str">
        <f t="shared" si="53"/>
        <v>yes</v>
      </c>
      <c r="AD199" s="314">
        <f>COUNTA(first:Last!R199)</f>
        <v>1</v>
      </c>
      <c r="AE199" s="157">
        <f>SUM(first:Last!Z199)</f>
        <v>0</v>
      </c>
      <c r="AF199" s="157" t="str">
        <f t="shared" si="54"/>
        <v>yes</v>
      </c>
      <c r="AG199" s="157">
        <f>COUNTA(Last:end!M199)</f>
        <v>2</v>
      </c>
      <c r="AH199" s="520">
        <f>COUNTA(Last:end!M199)/6</f>
        <v>0.33333333333333331</v>
      </c>
      <c r="AI199" s="157">
        <f>SUM(Last:end!O199)</f>
        <v>0</v>
      </c>
      <c r="AJ199" s="157">
        <f>MIN(Last:end!L199)</f>
        <v>2023</v>
      </c>
      <c r="AK199" s="157" t="e">
        <f>IF(AND(AJ199&lt;=2023,#REF!="high interest / inadequate offer "),"yes","no")</f>
        <v>#REF!</v>
      </c>
      <c r="AL199" s="157" t="str">
        <f t="shared" si="52"/>
        <v>no</v>
      </c>
      <c r="AM199" s="157"/>
      <c r="AN199" s="157"/>
      <c r="AO199" s="157"/>
      <c r="AP199" s="157">
        <v>1</v>
      </c>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row>
    <row r="200" spans="1:209" s="26" customFormat="1" ht="62.25" customHeight="1">
      <c r="A200" s="8" t="s">
        <v>16</v>
      </c>
      <c r="B200" s="29" t="s">
        <v>587</v>
      </c>
      <c r="C200" s="8" t="s">
        <v>588</v>
      </c>
      <c r="D200" s="8" t="s">
        <v>602</v>
      </c>
      <c r="E200" s="69" t="s">
        <v>603</v>
      </c>
      <c r="F200" s="8"/>
      <c r="G200" s="8" t="s">
        <v>62</v>
      </c>
      <c r="H200" s="8" t="s">
        <v>352</v>
      </c>
      <c r="I200" s="9">
        <v>1</v>
      </c>
      <c r="J200" s="8"/>
      <c r="K200" s="8"/>
      <c r="L200" s="8"/>
      <c r="M200" s="8"/>
      <c r="N200" s="8"/>
      <c r="O200" s="8"/>
      <c r="P200" s="8"/>
      <c r="Q200" s="157"/>
      <c r="R200" s="8"/>
      <c r="S200" s="8"/>
      <c r="T200" s="8"/>
      <c r="U200" s="8"/>
      <c r="V200" s="8"/>
      <c r="W200" s="8"/>
      <c r="X200" s="8"/>
      <c r="Y200" s="8"/>
      <c r="Z200" s="8"/>
      <c r="AA200" s="8"/>
      <c r="AB200" s="8"/>
      <c r="AC200" s="314" t="str">
        <f t="shared" si="53"/>
        <v>yes</v>
      </c>
      <c r="AD200" s="314">
        <f>COUNTA(first:Last!R200)</f>
        <v>1</v>
      </c>
      <c r="AE200" s="157">
        <f>SUM(first:Last!Z200)</f>
        <v>0</v>
      </c>
      <c r="AF200" s="157" t="str">
        <f t="shared" si="54"/>
        <v>yes</v>
      </c>
      <c r="AG200" s="157">
        <f>COUNTA(Last:end!M200)</f>
        <v>2</v>
      </c>
      <c r="AH200" s="520">
        <f>COUNTA(Last:end!M200)/6</f>
        <v>0.33333333333333331</v>
      </c>
      <c r="AI200" s="157">
        <f>SUM(Last:end!O200)</f>
        <v>0</v>
      </c>
      <c r="AJ200" s="157">
        <f>MIN(Last:end!L200)</f>
        <v>2023</v>
      </c>
      <c r="AK200" s="157" t="e">
        <f>IF(AND(AJ200&lt;=2023,#REF!="high interest / inadequate offer "),"yes","no")</f>
        <v>#REF!</v>
      </c>
      <c r="AL200" s="157" t="str">
        <f t="shared" si="52"/>
        <v>no</v>
      </c>
      <c r="AM200" s="157"/>
      <c r="AN200" s="157"/>
      <c r="AO200" s="157"/>
      <c r="AP200" s="157">
        <v>1</v>
      </c>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row>
    <row r="201" spans="1:209" s="26" customFormat="1" ht="62.25" customHeight="1">
      <c r="A201" s="8" t="s">
        <v>16</v>
      </c>
      <c r="B201" s="29" t="s">
        <v>587</v>
      </c>
      <c r="C201" s="8" t="s">
        <v>588</v>
      </c>
      <c r="D201" s="8" t="s">
        <v>604</v>
      </c>
      <c r="E201" s="69" t="s">
        <v>605</v>
      </c>
      <c r="F201" s="8"/>
      <c r="G201" s="8" t="s">
        <v>62</v>
      </c>
      <c r="H201" s="8" t="s">
        <v>352</v>
      </c>
      <c r="I201" s="9">
        <v>1</v>
      </c>
      <c r="J201" s="8"/>
      <c r="K201" s="8"/>
      <c r="L201" s="8"/>
      <c r="M201" s="8"/>
      <c r="N201" s="8"/>
      <c r="O201" s="8"/>
      <c r="P201" s="8"/>
      <c r="Q201" s="157"/>
      <c r="R201" s="8"/>
      <c r="S201" s="8"/>
      <c r="T201" s="8"/>
      <c r="U201" s="8"/>
      <c r="V201" s="8"/>
      <c r="W201" s="8"/>
      <c r="X201" s="8"/>
      <c r="Y201" s="8"/>
      <c r="Z201" s="8"/>
      <c r="AA201" s="8"/>
      <c r="AB201" s="8"/>
      <c r="AC201" s="314" t="str">
        <f t="shared" si="53"/>
        <v>yes</v>
      </c>
      <c r="AD201" s="314">
        <f>COUNTA(first:Last!R201)</f>
        <v>1</v>
      </c>
      <c r="AE201" s="157">
        <f>SUM(first:Last!Z201)</f>
        <v>0</v>
      </c>
      <c r="AF201" s="157" t="str">
        <f t="shared" si="54"/>
        <v>yes</v>
      </c>
      <c r="AG201" s="157">
        <f>COUNTA(Last:end!M201)</f>
        <v>2</v>
      </c>
      <c r="AH201" s="520">
        <f>COUNTA(Last:end!M201)/6</f>
        <v>0.33333333333333331</v>
      </c>
      <c r="AI201" s="157">
        <f>SUM(Last:end!O201)</f>
        <v>0</v>
      </c>
      <c r="AJ201" s="157">
        <f>MIN(Last:end!L201)</f>
        <v>2023</v>
      </c>
      <c r="AK201" s="157" t="e">
        <f>IF(AND(AJ201&lt;=2023,#REF!="high interest / inadequate offer "),"yes","no")</f>
        <v>#REF!</v>
      </c>
      <c r="AL201" s="157" t="str">
        <f t="shared" si="52"/>
        <v>no</v>
      </c>
      <c r="AM201" s="157"/>
      <c r="AN201" s="157"/>
      <c r="AO201" s="157"/>
      <c r="AP201" s="157">
        <v>1</v>
      </c>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row>
    <row r="202" spans="1:209" s="26" customFormat="1" ht="62.25" customHeight="1">
      <c r="A202" s="8" t="s">
        <v>16</v>
      </c>
      <c r="B202" s="29" t="s">
        <v>587</v>
      </c>
      <c r="C202" s="8" t="s">
        <v>588</v>
      </c>
      <c r="D202" s="8" t="s">
        <v>606</v>
      </c>
      <c r="E202" s="69" t="s">
        <v>607</v>
      </c>
      <c r="F202" s="8"/>
      <c r="G202" s="8" t="s">
        <v>62</v>
      </c>
      <c r="H202" s="8" t="s">
        <v>352</v>
      </c>
      <c r="I202" s="9">
        <v>1</v>
      </c>
      <c r="J202" s="8"/>
      <c r="K202" s="8"/>
      <c r="L202" s="8"/>
      <c r="M202" s="8"/>
      <c r="N202" s="8"/>
      <c r="O202" s="8"/>
      <c r="P202" s="8"/>
      <c r="Q202" s="157"/>
      <c r="R202" s="8"/>
      <c r="S202" s="8"/>
      <c r="T202" s="8"/>
      <c r="U202" s="8"/>
      <c r="V202" s="8"/>
      <c r="W202" s="8"/>
      <c r="X202" s="8"/>
      <c r="Y202" s="8"/>
      <c r="Z202" s="8"/>
      <c r="AA202" s="8"/>
      <c r="AB202" s="8"/>
      <c r="AC202" s="314" t="str">
        <f t="shared" si="53"/>
        <v>yes</v>
      </c>
      <c r="AD202" s="314">
        <f>COUNTA(first:Last!R202)</f>
        <v>1</v>
      </c>
      <c r="AE202" s="157">
        <f>SUM(first:Last!Z202)</f>
        <v>0</v>
      </c>
      <c r="AF202" s="157" t="str">
        <f t="shared" si="54"/>
        <v>yes</v>
      </c>
      <c r="AG202" s="157">
        <f>COUNTA(Last:end!M202)</f>
        <v>2</v>
      </c>
      <c r="AH202" s="520">
        <f>COUNTA(Last:end!M202)/6</f>
        <v>0.33333333333333331</v>
      </c>
      <c r="AI202" s="157">
        <f>SUM(Last:end!O202)</f>
        <v>0</v>
      </c>
      <c r="AJ202" s="157">
        <f>MIN(Last:end!L202)</f>
        <v>2023</v>
      </c>
      <c r="AK202" s="157" t="e">
        <f>IF(AND(AJ202&lt;=2023,#REF!="high interest / inadequate offer "),"yes","no")</f>
        <v>#REF!</v>
      </c>
      <c r="AL202" s="157" t="str">
        <f t="shared" si="52"/>
        <v>no</v>
      </c>
      <c r="AM202" s="157"/>
      <c r="AN202" s="157"/>
      <c r="AO202" s="157"/>
      <c r="AP202" s="157">
        <v>1</v>
      </c>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row>
    <row r="203" spans="1:209" s="26" customFormat="1" ht="62.25" customHeight="1">
      <c r="A203" s="8" t="s">
        <v>16</v>
      </c>
      <c r="B203" s="29" t="s">
        <v>587</v>
      </c>
      <c r="C203" s="8" t="s">
        <v>588</v>
      </c>
      <c r="D203" s="8" t="s">
        <v>608</v>
      </c>
      <c r="E203" s="69" t="s">
        <v>609</v>
      </c>
      <c r="F203" s="8"/>
      <c r="G203" s="8" t="s">
        <v>62</v>
      </c>
      <c r="H203" s="8" t="s">
        <v>352</v>
      </c>
      <c r="I203" s="9">
        <v>1</v>
      </c>
      <c r="J203" s="8"/>
      <c r="K203" s="8"/>
      <c r="L203" s="8"/>
      <c r="M203" s="8"/>
      <c r="N203" s="8"/>
      <c r="O203" s="8"/>
      <c r="P203" s="8"/>
      <c r="Q203" s="157"/>
      <c r="R203" s="8"/>
      <c r="S203" s="8"/>
      <c r="T203" s="8"/>
      <c r="U203" s="8"/>
      <c r="V203" s="8"/>
      <c r="W203" s="8"/>
      <c r="X203" s="8"/>
      <c r="Y203" s="8"/>
      <c r="Z203" s="8"/>
      <c r="AA203" s="8"/>
      <c r="AB203" s="8"/>
      <c r="AC203" s="314" t="str">
        <f t="shared" si="53"/>
        <v>yes</v>
      </c>
      <c r="AD203" s="314">
        <f>COUNTA(first:Last!R203)</f>
        <v>1</v>
      </c>
      <c r="AE203" s="157">
        <f>SUM(first:Last!Z203)</f>
        <v>0</v>
      </c>
      <c r="AF203" s="157" t="str">
        <f t="shared" si="54"/>
        <v>yes</v>
      </c>
      <c r="AG203" s="157">
        <f>COUNTA(Last:end!M203)</f>
        <v>2</v>
      </c>
      <c r="AH203" s="520">
        <f>COUNTA(Last:end!M203)/6</f>
        <v>0.33333333333333331</v>
      </c>
      <c r="AI203" s="157">
        <f>SUM(Last:end!O203)</f>
        <v>0</v>
      </c>
      <c r="AJ203" s="157">
        <f>MIN(Last:end!L203)</f>
        <v>2023</v>
      </c>
      <c r="AK203" s="157" t="e">
        <f>IF(AND(AJ203&lt;=2023,#REF!="high interest / inadequate offer "),"yes","no")</f>
        <v>#REF!</v>
      </c>
      <c r="AL203" s="157" t="str">
        <f t="shared" si="52"/>
        <v>no</v>
      </c>
      <c r="AM203" s="157"/>
      <c r="AN203" s="157"/>
      <c r="AO203" s="157"/>
      <c r="AP203" s="157">
        <v>1</v>
      </c>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row>
    <row r="204" spans="1:209" s="26" customFormat="1" ht="62.25" customHeight="1">
      <c r="A204" s="8" t="s">
        <v>16</v>
      </c>
      <c r="B204" s="29" t="s">
        <v>587</v>
      </c>
      <c r="C204" s="8" t="s">
        <v>588</v>
      </c>
      <c r="D204" s="8" t="s">
        <v>610</v>
      </c>
      <c r="E204" s="8" t="s">
        <v>611</v>
      </c>
      <c r="F204" s="8"/>
      <c r="G204" s="8" t="s">
        <v>62</v>
      </c>
      <c r="H204" s="8" t="s">
        <v>612</v>
      </c>
      <c r="I204" s="8" t="s">
        <v>110</v>
      </c>
      <c r="J204" s="8"/>
      <c r="K204" s="8"/>
      <c r="L204" s="8"/>
      <c r="M204" s="8"/>
      <c r="N204" s="8"/>
      <c r="O204" s="8"/>
      <c r="P204" s="8"/>
      <c r="Q204" s="157"/>
      <c r="R204" s="8"/>
      <c r="S204" s="8"/>
      <c r="T204" s="8"/>
      <c r="U204" s="8"/>
      <c r="V204" s="8"/>
      <c r="W204" s="8"/>
      <c r="X204" s="8"/>
      <c r="Y204" s="8"/>
      <c r="Z204" s="8"/>
      <c r="AA204" s="8"/>
      <c r="AB204" s="8"/>
      <c r="AC204" s="314" t="str">
        <f t="shared" si="53"/>
        <v>yes</v>
      </c>
      <c r="AD204" s="314">
        <f>COUNTA(first:Last!R204)</f>
        <v>2</v>
      </c>
      <c r="AE204" s="157">
        <f>SUM(first:Last!Z204)</f>
        <v>0</v>
      </c>
      <c r="AF204" s="157" t="str">
        <f t="shared" si="54"/>
        <v>yes</v>
      </c>
      <c r="AG204" s="157">
        <f>COUNTA(Last:end!M204)</f>
        <v>3</v>
      </c>
      <c r="AH204" s="520">
        <f>COUNTA(Last:end!M204)/6</f>
        <v>0.5</v>
      </c>
      <c r="AI204" s="157">
        <f>SUM(Last:end!O204)</f>
        <v>0</v>
      </c>
      <c r="AJ204" s="157">
        <f>MIN(Last:end!L204)</f>
        <v>2023</v>
      </c>
      <c r="AK204" s="157" t="e">
        <f>IF(AND(AJ204&lt;=2023,#REF!="high interest / inadequate offer "),"yes","no")</f>
        <v>#REF!</v>
      </c>
      <c r="AL204" s="157" t="str">
        <f t="shared" si="52"/>
        <v>yes</v>
      </c>
      <c r="AM204" s="157"/>
      <c r="AN204" s="157"/>
      <c r="AO204" s="157"/>
      <c r="AP204" s="157">
        <v>1</v>
      </c>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row>
    <row r="205" spans="1:209" s="74" customFormat="1" ht="78.75">
      <c r="A205" s="14" t="s">
        <v>16</v>
      </c>
      <c r="B205" s="70" t="s">
        <v>587</v>
      </c>
      <c r="C205" s="14" t="s">
        <v>613</v>
      </c>
      <c r="D205" s="14" t="s">
        <v>614</v>
      </c>
      <c r="E205" s="14" t="s">
        <v>615</v>
      </c>
      <c r="F205" s="14"/>
      <c r="G205" s="14" t="s">
        <v>71</v>
      </c>
      <c r="H205" s="14" t="s">
        <v>616</v>
      </c>
      <c r="I205" s="71">
        <v>1</v>
      </c>
      <c r="J205" s="14"/>
      <c r="K205" s="14"/>
      <c r="L205" s="14"/>
      <c r="M205" s="14"/>
      <c r="N205" s="14"/>
      <c r="O205" s="14"/>
      <c r="P205" s="14"/>
      <c r="Q205" s="14"/>
      <c r="R205" s="14"/>
      <c r="S205" s="14"/>
      <c r="T205" s="14"/>
      <c r="U205" s="14"/>
      <c r="V205" s="14"/>
      <c r="W205" s="14"/>
      <c r="X205" s="14"/>
      <c r="Y205" s="14"/>
      <c r="Z205" s="14"/>
      <c r="AA205" s="14"/>
      <c r="AB205" s="14"/>
      <c r="AC205" s="314" t="str">
        <f t="shared" si="53"/>
        <v>yes</v>
      </c>
      <c r="AD205" s="314">
        <f>COUNTA(first:Last!R205)</f>
        <v>2</v>
      </c>
      <c r="AE205" s="157">
        <f>SUM(first:Last!Z205)</f>
        <v>0</v>
      </c>
      <c r="AF205" s="157" t="str">
        <f t="shared" si="54"/>
        <v>no</v>
      </c>
      <c r="AG205" s="157">
        <f>COUNTA(Last:end!M205)</f>
        <v>0</v>
      </c>
      <c r="AH205" s="520">
        <f>COUNTA(Last:end!M205)/6</f>
        <v>0</v>
      </c>
      <c r="AI205" s="157">
        <f>SUM(Last:end!O205)</f>
        <v>0</v>
      </c>
      <c r="AJ205" s="157">
        <f>MIN(Last:end!L205)</f>
        <v>0</v>
      </c>
      <c r="AK205" s="157" t="e">
        <f>IF(AND(AJ205&lt;=2023,#REF!="high interest / inadequate offer "),"yes","no")</f>
        <v>#REF!</v>
      </c>
      <c r="AL205" s="157" t="str">
        <f t="shared" si="52"/>
        <v>yes</v>
      </c>
      <c r="AM205" s="157"/>
      <c r="AN205" s="14"/>
      <c r="AO205" s="14"/>
      <c r="AP205" s="157">
        <v>1</v>
      </c>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row>
    <row r="206" spans="1:209" s="26" customFormat="1" ht="62.25" customHeight="1">
      <c r="A206" s="8" t="s">
        <v>16</v>
      </c>
      <c r="B206" s="29" t="s">
        <v>587</v>
      </c>
      <c r="C206" s="8" t="s">
        <v>613</v>
      </c>
      <c r="D206" s="8" t="s">
        <v>617</v>
      </c>
      <c r="E206" s="8" t="s">
        <v>615</v>
      </c>
      <c r="F206" s="8"/>
      <c r="G206" s="8" t="s">
        <v>58</v>
      </c>
      <c r="H206" s="8" t="s">
        <v>428</v>
      </c>
      <c r="I206" s="9">
        <v>1</v>
      </c>
      <c r="J206" s="8"/>
      <c r="K206" s="8"/>
      <c r="L206" s="8"/>
      <c r="M206" s="8"/>
      <c r="N206" s="8"/>
      <c r="O206" s="8"/>
      <c r="P206" s="8"/>
      <c r="Q206" s="157"/>
      <c r="R206" s="8"/>
      <c r="S206" s="8"/>
      <c r="T206" s="8"/>
      <c r="U206" s="8"/>
      <c r="V206" s="8"/>
      <c r="W206" s="8"/>
      <c r="X206" s="8"/>
      <c r="Y206" s="8"/>
      <c r="Z206" s="8"/>
      <c r="AA206" s="8"/>
      <c r="AB206" s="8"/>
      <c r="AC206" s="314" t="str">
        <f t="shared" si="53"/>
        <v>yes</v>
      </c>
      <c r="AD206" s="314">
        <f>COUNTA(first:Last!R206)</f>
        <v>1</v>
      </c>
      <c r="AE206" s="157">
        <f>SUM(first:Last!Z206)</f>
        <v>0</v>
      </c>
      <c r="AF206" s="157" t="str">
        <f t="shared" si="54"/>
        <v>yes</v>
      </c>
      <c r="AG206" s="157">
        <f>COUNTA(Last:end!M206)</f>
        <v>2</v>
      </c>
      <c r="AH206" s="520">
        <f>COUNTA(Last:end!M206)/6</f>
        <v>0.33333333333333331</v>
      </c>
      <c r="AI206" s="157">
        <f>SUM(Last:end!O206)</f>
        <v>0</v>
      </c>
      <c r="AJ206" s="157">
        <f>MIN(Last:end!L206)</f>
        <v>2023</v>
      </c>
      <c r="AK206" s="157" t="e">
        <f>IF(AND(AJ206&lt;=2023,#REF!="high interest / inadequate offer "),"yes","no")</f>
        <v>#REF!</v>
      </c>
      <c r="AL206" s="157" t="str">
        <f t="shared" si="52"/>
        <v>no</v>
      </c>
      <c r="AM206" s="157"/>
      <c r="AN206" s="157"/>
      <c r="AO206" s="157"/>
      <c r="AP206" s="157">
        <v>1</v>
      </c>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row>
    <row r="207" spans="1:209" s="26" customFormat="1" ht="63">
      <c r="A207" s="8" t="s">
        <v>16</v>
      </c>
      <c r="B207" s="29" t="s">
        <v>587</v>
      </c>
      <c r="C207" s="8" t="s">
        <v>613</v>
      </c>
      <c r="D207" s="8" t="s">
        <v>618</v>
      </c>
      <c r="E207" s="8" t="s">
        <v>619</v>
      </c>
      <c r="F207" s="8"/>
      <c r="G207" s="8" t="s">
        <v>71</v>
      </c>
      <c r="H207" s="8" t="s">
        <v>432</v>
      </c>
      <c r="I207" s="8">
        <v>2030</v>
      </c>
      <c r="J207" s="8"/>
      <c r="K207" s="8"/>
      <c r="L207" s="8"/>
      <c r="M207" s="8"/>
      <c r="N207" s="8"/>
      <c r="O207" s="8"/>
      <c r="P207" s="8"/>
      <c r="Q207" s="157"/>
      <c r="R207" s="8"/>
      <c r="S207" s="8"/>
      <c r="T207" s="8"/>
      <c r="U207" s="8"/>
      <c r="V207" s="8"/>
      <c r="W207" s="8"/>
      <c r="X207" s="8"/>
      <c r="Y207" s="8"/>
      <c r="Z207" s="8"/>
      <c r="AA207" s="8"/>
      <c r="AB207" s="8"/>
      <c r="AC207" s="314" t="str">
        <f t="shared" si="53"/>
        <v>yes</v>
      </c>
      <c r="AD207" s="314">
        <f>COUNTA(first:Last!R207)</f>
        <v>1</v>
      </c>
      <c r="AE207" s="157">
        <f>SUM(first:Last!Z207)</f>
        <v>0</v>
      </c>
      <c r="AF207" s="157" t="str">
        <f t="shared" si="54"/>
        <v>no</v>
      </c>
      <c r="AG207" s="157">
        <f>COUNTA(Last:end!M207)</f>
        <v>0</v>
      </c>
      <c r="AH207" s="520">
        <f>COUNTA(Last:end!M207)/6</f>
        <v>0</v>
      </c>
      <c r="AI207" s="157">
        <f>SUM(Last:end!O207)</f>
        <v>0</v>
      </c>
      <c r="AJ207" s="157">
        <f>MIN(Last:end!L207)</f>
        <v>0</v>
      </c>
      <c r="AK207" s="157" t="e">
        <f>IF(AND(AJ207&lt;=2023,#REF!="high interest / inadequate offer "),"yes","no")</f>
        <v>#REF!</v>
      </c>
      <c r="AL207" s="157" t="str">
        <f t="shared" si="52"/>
        <v>no</v>
      </c>
      <c r="AM207" s="157"/>
      <c r="AN207" s="157"/>
      <c r="AO207" s="157"/>
      <c r="AP207" s="157">
        <v>1</v>
      </c>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row>
    <row r="208" spans="1:209" s="26" customFormat="1" ht="62.25" customHeight="1">
      <c r="A208" s="8" t="s">
        <v>16</v>
      </c>
      <c r="B208" s="29" t="s">
        <v>587</v>
      </c>
      <c r="C208" s="8" t="s">
        <v>620</v>
      </c>
      <c r="D208" s="8" t="s">
        <v>621</v>
      </c>
      <c r="E208" s="8" t="s">
        <v>622</v>
      </c>
      <c r="F208" s="8"/>
      <c r="G208" s="8" t="s">
        <v>58</v>
      </c>
      <c r="H208" s="8" t="s">
        <v>623</v>
      </c>
      <c r="I208" s="9">
        <v>1</v>
      </c>
      <c r="J208" s="8"/>
      <c r="K208" s="8"/>
      <c r="L208" s="8"/>
      <c r="M208" s="8"/>
      <c r="N208" s="8"/>
      <c r="O208" s="8"/>
      <c r="P208" s="8"/>
      <c r="Q208" s="157"/>
      <c r="R208" s="8"/>
      <c r="S208" s="8"/>
      <c r="T208" s="8"/>
      <c r="U208" s="8"/>
      <c r="V208" s="8"/>
      <c r="W208" s="8"/>
      <c r="X208" s="8"/>
      <c r="Y208" s="8"/>
      <c r="Z208" s="8"/>
      <c r="AA208" s="8"/>
      <c r="AB208" s="8"/>
      <c r="AC208" s="314" t="str">
        <f t="shared" si="53"/>
        <v>no</v>
      </c>
      <c r="AD208" s="314">
        <f>COUNTA(first:Last!R208)</f>
        <v>0</v>
      </c>
      <c r="AE208" s="157">
        <f>SUM(first:Last!Z208)</f>
        <v>0</v>
      </c>
      <c r="AF208" s="157" t="str">
        <f t="shared" si="54"/>
        <v>yes</v>
      </c>
      <c r="AG208" s="157">
        <f>COUNTA(Last:end!M208)</f>
        <v>1</v>
      </c>
      <c r="AH208" s="520">
        <f>COUNTA(Last:end!M208)/6</f>
        <v>0.16666666666666666</v>
      </c>
      <c r="AI208" s="157">
        <f>SUM(Last:end!O208)</f>
        <v>0</v>
      </c>
      <c r="AJ208" s="157">
        <f>MIN(Last:end!L208)</f>
        <v>2023</v>
      </c>
      <c r="AK208" s="157" t="e">
        <f>IF(AND(AJ208&lt;=2023,#REF!="high interest / inadequate offer "),"yes","no")</f>
        <v>#REF!</v>
      </c>
      <c r="AL208" s="157" t="str">
        <f t="shared" si="52"/>
        <v>no</v>
      </c>
      <c r="AM208" s="157"/>
      <c r="AN208" s="157"/>
      <c r="AO208" s="157"/>
      <c r="AP208" s="157">
        <v>1</v>
      </c>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row>
    <row r="209" spans="1:209" s="26" customFormat="1" ht="62.25" customHeight="1">
      <c r="A209" s="8" t="s">
        <v>16</v>
      </c>
      <c r="B209" s="29" t="s">
        <v>587</v>
      </c>
      <c r="C209" s="8" t="s">
        <v>624</v>
      </c>
      <c r="D209" s="8" t="s">
        <v>625</v>
      </c>
      <c r="E209" s="8" t="s">
        <v>626</v>
      </c>
      <c r="F209" s="8"/>
      <c r="G209" s="8" t="s">
        <v>62</v>
      </c>
      <c r="H209" s="8" t="s">
        <v>627</v>
      </c>
      <c r="I209" s="9">
        <v>0.5</v>
      </c>
      <c r="J209" s="8"/>
      <c r="K209" s="8"/>
      <c r="L209" s="8"/>
      <c r="M209" s="8"/>
      <c r="N209" s="8"/>
      <c r="O209" s="8"/>
      <c r="P209" s="8"/>
      <c r="Q209" s="157"/>
      <c r="R209" s="8"/>
      <c r="S209" s="8"/>
      <c r="T209" s="8"/>
      <c r="U209" s="8"/>
      <c r="V209" s="8"/>
      <c r="W209" s="8"/>
      <c r="X209" s="8"/>
      <c r="Y209" s="8"/>
      <c r="Z209" s="8"/>
      <c r="AA209" s="8"/>
      <c r="AB209" s="8"/>
      <c r="AC209" s="314" t="str">
        <f t="shared" si="53"/>
        <v>yes</v>
      </c>
      <c r="AD209" s="314">
        <f>COUNTA(first:Last!R209)</f>
        <v>2</v>
      </c>
      <c r="AE209" s="157">
        <f>SUM(first:Last!Z209)</f>
        <v>0</v>
      </c>
      <c r="AF209" s="157" t="str">
        <f t="shared" si="54"/>
        <v>yes</v>
      </c>
      <c r="AG209" s="157">
        <f>COUNTA(Last:end!M209)</f>
        <v>2</v>
      </c>
      <c r="AH209" s="520">
        <f>COUNTA(Last:end!M209)/6</f>
        <v>0.33333333333333331</v>
      </c>
      <c r="AI209" s="157">
        <f>SUM(Last:end!O209)</f>
        <v>0</v>
      </c>
      <c r="AJ209" s="157">
        <f>MIN(Last:end!L209)</f>
        <v>2023</v>
      </c>
      <c r="AK209" s="157" t="e">
        <f>IF(AND(AJ209&lt;=2023,#REF!="high interest / inadequate offer "),"yes","no")</f>
        <v>#REF!</v>
      </c>
      <c r="AL209" s="157" t="str">
        <f t="shared" si="52"/>
        <v>yes</v>
      </c>
      <c r="AM209" s="157"/>
      <c r="AN209" s="157"/>
      <c r="AO209" s="157"/>
      <c r="AP209" s="157">
        <v>1</v>
      </c>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row>
    <row r="210" spans="1:209" s="26" customFormat="1" ht="62.25" customHeight="1">
      <c r="A210" s="8" t="s">
        <v>16</v>
      </c>
      <c r="B210" s="29" t="s">
        <v>587</v>
      </c>
      <c r="C210" s="8" t="s">
        <v>624</v>
      </c>
      <c r="D210" s="8" t="s">
        <v>628</v>
      </c>
      <c r="E210" s="8" t="s">
        <v>629</v>
      </c>
      <c r="F210" s="8"/>
      <c r="G210" s="8" t="s">
        <v>62</v>
      </c>
      <c r="H210" s="8" t="s">
        <v>476</v>
      </c>
      <c r="I210" s="8" t="s">
        <v>210</v>
      </c>
      <c r="J210" s="8"/>
      <c r="K210" s="8"/>
      <c r="L210" s="8"/>
      <c r="M210" s="8"/>
      <c r="N210" s="8"/>
      <c r="O210" s="8"/>
      <c r="P210" s="8"/>
      <c r="Q210" s="157"/>
      <c r="R210" s="8"/>
      <c r="S210" s="8"/>
      <c r="T210" s="8"/>
      <c r="U210" s="8"/>
      <c r="V210" s="8"/>
      <c r="W210" s="8"/>
      <c r="X210" s="8"/>
      <c r="Y210" s="8"/>
      <c r="Z210" s="8"/>
      <c r="AA210" s="8"/>
      <c r="AB210" s="8"/>
      <c r="AC210" s="314" t="str">
        <f t="shared" si="53"/>
        <v>yes</v>
      </c>
      <c r="AD210" s="314">
        <f>COUNTA(first:Last!R210)</f>
        <v>1</v>
      </c>
      <c r="AE210" s="157">
        <f>SUM(first:Last!Z210)</f>
        <v>0</v>
      </c>
      <c r="AF210" s="157" t="str">
        <f t="shared" si="54"/>
        <v>yes</v>
      </c>
      <c r="AG210" s="157">
        <f>COUNTA(Last:end!M210)</f>
        <v>2</v>
      </c>
      <c r="AH210" s="520">
        <f>COUNTA(Last:end!M210)/6</f>
        <v>0.33333333333333331</v>
      </c>
      <c r="AI210" s="157">
        <f>SUM(Last:end!O210)</f>
        <v>0</v>
      </c>
      <c r="AJ210" s="157">
        <f>MIN(Last:end!L210)</f>
        <v>2023</v>
      </c>
      <c r="AK210" s="157" t="e">
        <f>IF(AND(AJ210&lt;=2023,#REF!="high interest / inadequate offer "),"yes","no")</f>
        <v>#REF!</v>
      </c>
      <c r="AL210" s="157" t="str">
        <f t="shared" si="52"/>
        <v>no</v>
      </c>
      <c r="AM210" s="157"/>
      <c r="AN210" s="157"/>
      <c r="AO210" s="157"/>
      <c r="AP210" s="157">
        <v>1</v>
      </c>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row>
    <row r="211" spans="1:209" s="26" customFormat="1" ht="62.25" customHeight="1">
      <c r="A211" s="8" t="s">
        <v>16</v>
      </c>
      <c r="B211" s="29" t="s">
        <v>587</v>
      </c>
      <c r="C211" s="8" t="s">
        <v>624</v>
      </c>
      <c r="D211" s="8" t="s">
        <v>630</v>
      </c>
      <c r="E211" s="8" t="s">
        <v>631</v>
      </c>
      <c r="F211" s="8"/>
      <c r="G211" s="8" t="s">
        <v>62</v>
      </c>
      <c r="H211" s="8" t="s">
        <v>476</v>
      </c>
      <c r="I211" s="8" t="s">
        <v>210</v>
      </c>
      <c r="J211" s="8"/>
      <c r="K211" s="8"/>
      <c r="L211" s="8"/>
      <c r="M211" s="8"/>
      <c r="N211" s="8"/>
      <c r="O211" s="8"/>
      <c r="P211" s="8"/>
      <c r="Q211" s="157"/>
      <c r="R211" s="8"/>
      <c r="S211" s="8"/>
      <c r="T211" s="8"/>
      <c r="U211" s="8"/>
      <c r="V211" s="8"/>
      <c r="W211" s="8"/>
      <c r="X211" s="8"/>
      <c r="Y211" s="8"/>
      <c r="Z211" s="8"/>
      <c r="AA211" s="8"/>
      <c r="AB211" s="8"/>
      <c r="AC211" s="314" t="str">
        <f t="shared" si="53"/>
        <v>yes</v>
      </c>
      <c r="AD211" s="314">
        <f>COUNTA(first:Last!R211)</f>
        <v>1</v>
      </c>
      <c r="AE211" s="157">
        <f>SUM(first:Last!Z211)</f>
        <v>0</v>
      </c>
      <c r="AF211" s="157" t="str">
        <f t="shared" si="54"/>
        <v>yes</v>
      </c>
      <c r="AG211" s="157">
        <f>COUNTA(Last:end!M211)</f>
        <v>2</v>
      </c>
      <c r="AH211" s="520">
        <f>COUNTA(Last:end!M211)/6</f>
        <v>0.33333333333333331</v>
      </c>
      <c r="AI211" s="157">
        <f>SUM(Last:end!O211)</f>
        <v>0</v>
      </c>
      <c r="AJ211" s="157">
        <f>MIN(Last:end!L211)</f>
        <v>2023</v>
      </c>
      <c r="AK211" s="157" t="e">
        <f>IF(AND(AJ211&lt;=2023,#REF!="high interest / inadequate offer "),"yes","no")</f>
        <v>#REF!</v>
      </c>
      <c r="AL211" s="157" t="str">
        <f t="shared" si="52"/>
        <v>no</v>
      </c>
      <c r="AM211" s="157"/>
      <c r="AN211" s="157"/>
      <c r="AO211" s="157"/>
      <c r="AP211" s="157">
        <v>1</v>
      </c>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row>
    <row r="212" spans="1:209" s="26" customFormat="1" ht="62.25" customHeight="1">
      <c r="A212" s="8" t="s">
        <v>16</v>
      </c>
      <c r="B212" s="29" t="s">
        <v>587</v>
      </c>
      <c r="C212" s="8" t="s">
        <v>624</v>
      </c>
      <c r="D212" s="8" t="s">
        <v>632</v>
      </c>
      <c r="E212" s="8" t="s">
        <v>633</v>
      </c>
      <c r="F212" s="8"/>
      <c r="G212" s="8" t="s">
        <v>62</v>
      </c>
      <c r="H212" s="8" t="s">
        <v>634</v>
      </c>
      <c r="I212" s="9">
        <v>1</v>
      </c>
      <c r="J212" s="8"/>
      <c r="K212" s="8"/>
      <c r="L212" s="8"/>
      <c r="M212" s="8"/>
      <c r="N212" s="8"/>
      <c r="O212" s="8"/>
      <c r="P212" s="8"/>
      <c r="Q212" s="157"/>
      <c r="R212" s="8"/>
      <c r="S212" s="8"/>
      <c r="T212" s="8"/>
      <c r="U212" s="8"/>
      <c r="V212" s="8"/>
      <c r="W212" s="8"/>
      <c r="X212" s="8"/>
      <c r="Y212" s="8"/>
      <c r="Z212" s="8"/>
      <c r="AA212" s="8"/>
      <c r="AB212" s="8"/>
      <c r="AC212" s="314" t="str">
        <f t="shared" si="53"/>
        <v>yes</v>
      </c>
      <c r="AD212" s="314">
        <f>COUNTA(first:Last!R212)</f>
        <v>1</v>
      </c>
      <c r="AE212" s="157">
        <f>SUM(first:Last!Z212)</f>
        <v>0</v>
      </c>
      <c r="AF212" s="157" t="str">
        <f t="shared" si="54"/>
        <v>yes</v>
      </c>
      <c r="AG212" s="157">
        <f>COUNTA(Last:end!M212)</f>
        <v>2</v>
      </c>
      <c r="AH212" s="520">
        <f>COUNTA(Last:end!M212)/6</f>
        <v>0.33333333333333331</v>
      </c>
      <c r="AI212" s="157">
        <f>SUM(Last:end!O212)</f>
        <v>0</v>
      </c>
      <c r="AJ212" s="157">
        <f>MIN(Last:end!L212)</f>
        <v>2023</v>
      </c>
      <c r="AK212" s="157" t="e">
        <f>IF(AND(AJ212&lt;=2023,#REF!="high interest / inadequate offer "),"yes","no")</f>
        <v>#REF!</v>
      </c>
      <c r="AL212" s="157" t="str">
        <f t="shared" si="52"/>
        <v>no</v>
      </c>
      <c r="AM212" s="157"/>
      <c r="AN212" s="157"/>
      <c r="AO212" s="157"/>
      <c r="AP212" s="157">
        <v>1</v>
      </c>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row>
    <row r="213" spans="1:209" s="26" customFormat="1" ht="78.75">
      <c r="A213" s="8" t="s">
        <v>16</v>
      </c>
      <c r="B213" s="29" t="s">
        <v>587</v>
      </c>
      <c r="C213" s="8" t="s">
        <v>624</v>
      </c>
      <c r="D213" s="8" t="s">
        <v>635</v>
      </c>
      <c r="E213" s="8" t="s">
        <v>636</v>
      </c>
      <c r="F213" s="8"/>
      <c r="G213" s="8" t="s">
        <v>71</v>
      </c>
      <c r="H213" s="8" t="s">
        <v>637</v>
      </c>
      <c r="I213" s="8" t="s">
        <v>638</v>
      </c>
      <c r="J213" s="8"/>
      <c r="K213" s="8"/>
      <c r="L213" s="8"/>
      <c r="M213" s="8"/>
      <c r="N213" s="8"/>
      <c r="O213" s="8"/>
      <c r="P213" s="8"/>
      <c r="Q213" s="157"/>
      <c r="R213" s="8"/>
      <c r="S213" s="8"/>
      <c r="T213" s="8"/>
      <c r="U213" s="8"/>
      <c r="V213" s="8"/>
      <c r="W213" s="8"/>
      <c r="X213" s="8"/>
      <c r="Y213" s="8"/>
      <c r="Z213" s="8"/>
      <c r="AA213" s="8"/>
      <c r="AB213" s="8"/>
      <c r="AC213" s="314" t="str">
        <f t="shared" si="53"/>
        <v>yes</v>
      </c>
      <c r="AD213" s="314">
        <f>COUNTA(first:Last!R213)</f>
        <v>1</v>
      </c>
      <c r="AE213" s="157">
        <f>SUM(first:Last!Z213)</f>
        <v>0</v>
      </c>
      <c r="AF213" s="157" t="str">
        <f t="shared" si="54"/>
        <v>no</v>
      </c>
      <c r="AG213" s="157">
        <f>COUNTA(Last:end!M213)</f>
        <v>0</v>
      </c>
      <c r="AH213" s="520">
        <f>COUNTA(Last:end!M213)/6</f>
        <v>0</v>
      </c>
      <c r="AI213" s="157">
        <f>SUM(Last:end!O213)</f>
        <v>0</v>
      </c>
      <c r="AJ213" s="157">
        <f>MIN(Last:end!L213)</f>
        <v>0</v>
      </c>
      <c r="AK213" s="157" t="e">
        <f>IF(AND(AJ213&lt;=2023,#REF!="high interest / inadequate offer "),"yes","no")</f>
        <v>#REF!</v>
      </c>
      <c r="AL213" s="157" t="str">
        <f t="shared" si="52"/>
        <v>no</v>
      </c>
      <c r="AM213" s="157"/>
      <c r="AN213" s="157"/>
      <c r="AO213" s="157"/>
      <c r="AP213" s="157">
        <v>1</v>
      </c>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row>
    <row r="214" spans="1:209" s="26" customFormat="1" ht="15.75">
      <c r="A214" s="553" t="s">
        <v>639</v>
      </c>
      <c r="B214" s="99"/>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c r="AC214" s="157"/>
      <c r="AD214" s="157"/>
      <c r="AE214" s="157"/>
      <c r="AF214" s="157"/>
      <c r="AG214" s="157"/>
      <c r="AH214" s="157"/>
      <c r="AI214" s="157"/>
      <c r="AJ214" s="157"/>
      <c r="AK214" s="157"/>
      <c r="AL214" s="157"/>
      <c r="AM214" s="157"/>
      <c r="AN214" s="157"/>
      <c r="AO214" s="157"/>
      <c r="AP214" s="157">
        <v>0</v>
      </c>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row>
    <row r="215" spans="1:209" s="26" customFormat="1" ht="62.25" customHeight="1">
      <c r="A215" s="8" t="s">
        <v>18</v>
      </c>
      <c r="B215" s="29" t="s">
        <v>54</v>
      </c>
      <c r="C215" s="8" t="s">
        <v>640</v>
      </c>
      <c r="D215" s="8" t="s">
        <v>641</v>
      </c>
      <c r="E215" s="8" t="s">
        <v>642</v>
      </c>
      <c r="F215" s="8"/>
      <c r="G215" s="8" t="s">
        <v>62</v>
      </c>
      <c r="H215" s="8" t="s">
        <v>484</v>
      </c>
      <c r="I215" s="8" t="s">
        <v>485</v>
      </c>
      <c r="J215" s="8"/>
      <c r="K215" s="8"/>
      <c r="L215" s="8"/>
      <c r="M215" s="8"/>
      <c r="N215" s="8"/>
      <c r="O215" s="8"/>
      <c r="P215" s="8"/>
      <c r="Q215" s="157"/>
      <c r="R215" s="8"/>
      <c r="S215" s="8"/>
      <c r="T215" s="8"/>
      <c r="U215" s="8"/>
      <c r="V215" s="8"/>
      <c r="W215" s="8"/>
      <c r="X215" s="8"/>
      <c r="Y215" s="8"/>
      <c r="Z215" s="8"/>
      <c r="AA215" s="8"/>
      <c r="AB215" s="8"/>
      <c r="AC215" s="314" t="str">
        <f t="shared" ref="AC215:AC226" si="55">IF(AD215&gt;0,"yes", "no")</f>
        <v>yes</v>
      </c>
      <c r="AD215" s="314">
        <f>COUNTA(first:Last!R215)</f>
        <v>4</v>
      </c>
      <c r="AE215" s="157">
        <f>SUM(first:Last!Z215)</f>
        <v>10000</v>
      </c>
      <c r="AF215" s="157" t="str">
        <f t="shared" ref="AF215:AF226" si="56">IF(AH215&gt;0,"yes", "no")</f>
        <v>yes</v>
      </c>
      <c r="AG215" s="157">
        <f>COUNTA(Last:end!M215)</f>
        <v>2</v>
      </c>
      <c r="AH215" s="520">
        <f>COUNTA(Last:end!M215)/6</f>
        <v>0.33333333333333331</v>
      </c>
      <c r="AI215" s="157">
        <f>SUM(Last:end!O215)</f>
        <v>0</v>
      </c>
      <c r="AJ215" s="157">
        <f>MIN(Last:end!L215)</f>
        <v>2023</v>
      </c>
      <c r="AK215" s="157" t="e">
        <f>IF(AND(AJ215&lt;=2023,#REF!="high interest / inadequate offer "),"yes","no")</f>
        <v>#REF!</v>
      </c>
      <c r="AL215" s="157" t="str">
        <f t="shared" ref="AL215:AL235" si="57">IF(AD215&gt;1,"yes", "no")</f>
        <v>yes</v>
      </c>
      <c r="AM215" s="157"/>
      <c r="AN215" s="157"/>
      <c r="AO215" s="157"/>
      <c r="AP215" s="157">
        <v>1</v>
      </c>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row>
    <row r="216" spans="1:209" s="26" customFormat="1" ht="62.25" customHeight="1">
      <c r="A216" s="8" t="s">
        <v>18</v>
      </c>
      <c r="B216" s="29" t="s">
        <v>54</v>
      </c>
      <c r="C216" s="8" t="s">
        <v>643</v>
      </c>
      <c r="D216" s="8" t="s">
        <v>644</v>
      </c>
      <c r="E216" s="8" t="s">
        <v>645</v>
      </c>
      <c r="F216" s="8"/>
      <c r="G216" s="8" t="s">
        <v>62</v>
      </c>
      <c r="H216" s="8" t="s">
        <v>646</v>
      </c>
      <c r="I216" s="8" t="s">
        <v>85</v>
      </c>
      <c r="J216" s="8"/>
      <c r="K216" s="8"/>
      <c r="L216" s="8"/>
      <c r="M216" s="8"/>
      <c r="N216" s="8"/>
      <c r="O216" s="8"/>
      <c r="P216" s="8"/>
      <c r="Q216" s="157"/>
      <c r="R216" s="8"/>
      <c r="S216" s="8"/>
      <c r="T216" s="8"/>
      <c r="U216" s="8"/>
      <c r="V216" s="8"/>
      <c r="W216" s="8"/>
      <c r="X216" s="8"/>
      <c r="Y216" s="8"/>
      <c r="Z216" s="8"/>
      <c r="AA216" s="8"/>
      <c r="AB216" s="8"/>
      <c r="AC216" s="314" t="str">
        <f t="shared" si="55"/>
        <v>yes</v>
      </c>
      <c r="AD216" s="314">
        <f>COUNTA(first:Last!R216)</f>
        <v>3</v>
      </c>
      <c r="AE216" s="157">
        <f>SUM(first:Last!Z216)</f>
        <v>241058</v>
      </c>
      <c r="AF216" s="157" t="str">
        <f t="shared" si="56"/>
        <v>yes</v>
      </c>
      <c r="AG216" s="157">
        <f>COUNTA(Last:end!M216)</f>
        <v>2</v>
      </c>
      <c r="AH216" s="520">
        <f>COUNTA(Last:end!M216)/6</f>
        <v>0.33333333333333331</v>
      </c>
      <c r="AI216" s="157">
        <f>SUM(Last:end!O216)</f>
        <v>0</v>
      </c>
      <c r="AJ216" s="157">
        <f>MIN(Last:end!L216)</f>
        <v>2023</v>
      </c>
      <c r="AK216" s="157" t="e">
        <f>IF(AND(AJ216&lt;=2023,#REF!="high interest / inadequate offer "),"yes","no")</f>
        <v>#REF!</v>
      </c>
      <c r="AL216" s="157" t="str">
        <f t="shared" si="57"/>
        <v>yes</v>
      </c>
      <c r="AM216" s="157"/>
      <c r="AN216" s="157"/>
      <c r="AO216" s="157"/>
      <c r="AP216" s="157">
        <v>1</v>
      </c>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row>
    <row r="217" spans="1:209" s="26" customFormat="1" ht="78.75">
      <c r="A217" s="8" t="s">
        <v>18</v>
      </c>
      <c r="B217" s="29" t="s">
        <v>54</v>
      </c>
      <c r="C217" s="8" t="s">
        <v>643</v>
      </c>
      <c r="D217" s="8" t="s">
        <v>647</v>
      </c>
      <c r="E217" s="8" t="s">
        <v>648</v>
      </c>
      <c r="F217" s="8"/>
      <c r="G217" s="8" t="s">
        <v>71</v>
      </c>
      <c r="H217" s="8" t="s">
        <v>649</v>
      </c>
      <c r="I217" s="9">
        <v>1</v>
      </c>
      <c r="J217" s="8"/>
      <c r="K217" s="8"/>
      <c r="L217" s="8"/>
      <c r="M217" s="8"/>
      <c r="N217" s="8"/>
      <c r="O217" s="8"/>
      <c r="P217" s="8"/>
      <c r="Q217" s="157"/>
      <c r="R217" s="8"/>
      <c r="S217" s="8"/>
      <c r="T217" s="8"/>
      <c r="U217" s="8"/>
      <c r="V217" s="8"/>
      <c r="W217" s="8"/>
      <c r="X217" s="8"/>
      <c r="Y217" s="8"/>
      <c r="Z217" s="8"/>
      <c r="AA217" s="8"/>
      <c r="AB217" s="8"/>
      <c r="AC217" s="314" t="str">
        <f t="shared" si="55"/>
        <v>yes</v>
      </c>
      <c r="AD217" s="314">
        <f>COUNTA(first:Last!R217)</f>
        <v>2</v>
      </c>
      <c r="AE217" s="157">
        <f>SUM(first:Last!Z217)</f>
        <v>0</v>
      </c>
      <c r="AF217" s="157" t="str">
        <f t="shared" si="56"/>
        <v>no</v>
      </c>
      <c r="AG217" s="157">
        <f>COUNTA(Last:end!M217)</f>
        <v>0</v>
      </c>
      <c r="AH217" s="520">
        <f>COUNTA(Last:end!M217)/6</f>
        <v>0</v>
      </c>
      <c r="AI217" s="157">
        <f>SUM(Last:end!O217)</f>
        <v>0</v>
      </c>
      <c r="AJ217" s="157">
        <f>MIN(Last:end!L217)</f>
        <v>0</v>
      </c>
      <c r="AK217" s="157" t="e">
        <f>IF(AND(AJ217&lt;=2023,#REF!="high interest / inadequate offer "),"yes","no")</f>
        <v>#REF!</v>
      </c>
      <c r="AL217" s="157" t="str">
        <f t="shared" si="57"/>
        <v>yes</v>
      </c>
      <c r="AM217" s="157"/>
      <c r="AN217" s="157"/>
      <c r="AO217" s="157"/>
      <c r="AP217" s="157">
        <v>1</v>
      </c>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row>
    <row r="218" spans="1:209" s="26" customFormat="1" ht="63">
      <c r="A218" s="8" t="s">
        <v>18</v>
      </c>
      <c r="B218" s="29" t="s">
        <v>54</v>
      </c>
      <c r="C218" s="8" t="s">
        <v>643</v>
      </c>
      <c r="D218" s="8" t="s">
        <v>650</v>
      </c>
      <c r="E218" s="8" t="s">
        <v>651</v>
      </c>
      <c r="F218" s="8"/>
      <c r="G218" s="8" t="s">
        <v>71</v>
      </c>
      <c r="H218" s="8" t="s">
        <v>652</v>
      </c>
      <c r="I218" s="9">
        <v>1</v>
      </c>
      <c r="J218" s="8"/>
      <c r="K218" s="8"/>
      <c r="L218" s="8"/>
      <c r="M218" s="8"/>
      <c r="N218" s="8"/>
      <c r="O218" s="8"/>
      <c r="P218" s="8"/>
      <c r="Q218" s="157"/>
      <c r="R218" s="8"/>
      <c r="S218" s="8"/>
      <c r="T218" s="8"/>
      <c r="U218" s="8"/>
      <c r="V218" s="8"/>
      <c r="W218" s="8"/>
      <c r="X218" s="8"/>
      <c r="Y218" s="8"/>
      <c r="Z218" s="8"/>
      <c r="AA218" s="8"/>
      <c r="AB218" s="8"/>
      <c r="AC218" s="314" t="str">
        <f t="shared" si="55"/>
        <v>yes</v>
      </c>
      <c r="AD218" s="314">
        <f>COUNTA(first:Last!R218)</f>
        <v>1</v>
      </c>
      <c r="AE218" s="157">
        <f>SUM(first:Last!Z218)</f>
        <v>0</v>
      </c>
      <c r="AF218" s="157" t="str">
        <f t="shared" si="56"/>
        <v>no</v>
      </c>
      <c r="AG218" s="157">
        <f>COUNTA(Last:end!M218)</f>
        <v>0</v>
      </c>
      <c r="AH218" s="520">
        <f>COUNTA(Last:end!M218)/6</f>
        <v>0</v>
      </c>
      <c r="AI218" s="157">
        <f>SUM(Last:end!O218)</f>
        <v>0</v>
      </c>
      <c r="AJ218" s="157">
        <f>MIN(Last:end!L218)</f>
        <v>0</v>
      </c>
      <c r="AK218" s="157" t="e">
        <f>IF(AND(AJ218&lt;=2023,#REF!="high interest / inadequate offer "),"yes","no")</f>
        <v>#REF!</v>
      </c>
      <c r="AL218" s="157" t="str">
        <f t="shared" si="57"/>
        <v>no</v>
      </c>
      <c r="AM218" s="157"/>
      <c r="AN218" s="157"/>
      <c r="AO218" s="157"/>
      <c r="AP218" s="157">
        <v>1</v>
      </c>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row>
    <row r="219" spans="1:209" s="26" customFormat="1" ht="63">
      <c r="A219" s="8" t="s">
        <v>18</v>
      </c>
      <c r="B219" s="29" t="s">
        <v>54</v>
      </c>
      <c r="C219" s="8" t="s">
        <v>643</v>
      </c>
      <c r="D219" s="8" t="s">
        <v>653</v>
      </c>
      <c r="E219" s="8" t="s">
        <v>654</v>
      </c>
      <c r="F219" s="8"/>
      <c r="G219" s="8" t="s">
        <v>71</v>
      </c>
      <c r="H219" s="8" t="s">
        <v>655</v>
      </c>
      <c r="I219" s="9">
        <v>1</v>
      </c>
      <c r="J219" s="8"/>
      <c r="K219" s="8"/>
      <c r="L219" s="8"/>
      <c r="M219" s="8"/>
      <c r="N219" s="8"/>
      <c r="O219" s="8"/>
      <c r="P219" s="8"/>
      <c r="Q219" s="157"/>
      <c r="R219" s="8"/>
      <c r="S219" s="8"/>
      <c r="T219" s="8"/>
      <c r="U219" s="8"/>
      <c r="V219" s="8"/>
      <c r="W219" s="8"/>
      <c r="X219" s="8"/>
      <c r="Y219" s="8"/>
      <c r="Z219" s="8"/>
      <c r="AA219" s="8"/>
      <c r="AB219" s="8"/>
      <c r="AC219" s="314" t="str">
        <f t="shared" si="55"/>
        <v>no</v>
      </c>
      <c r="AD219" s="314">
        <f>COUNTA(first:Last!R219)</f>
        <v>0</v>
      </c>
      <c r="AE219" s="157">
        <f>SUM(first:Last!Z219)</f>
        <v>0</v>
      </c>
      <c r="AF219" s="157" t="str">
        <f t="shared" si="56"/>
        <v>no</v>
      </c>
      <c r="AG219" s="157">
        <f>COUNTA(Last:end!M219)</f>
        <v>0</v>
      </c>
      <c r="AH219" s="520">
        <f>COUNTA(Last:end!M219)/6</f>
        <v>0</v>
      </c>
      <c r="AI219" s="157">
        <f>SUM(Last:end!O219)</f>
        <v>0</v>
      </c>
      <c r="AJ219" s="157">
        <f>MIN(Last:end!L219)</f>
        <v>0</v>
      </c>
      <c r="AK219" s="157" t="e">
        <f>IF(AND(AJ219&lt;=2023,#REF!="high interest / inadequate offer "),"yes","no")</f>
        <v>#REF!</v>
      </c>
      <c r="AL219" s="157" t="str">
        <f t="shared" si="57"/>
        <v>no</v>
      </c>
      <c r="AM219" s="157"/>
      <c r="AN219" s="157"/>
      <c r="AO219" s="157"/>
      <c r="AP219" s="157">
        <v>1</v>
      </c>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row>
    <row r="220" spans="1:209" s="26" customFormat="1" ht="62.25" customHeight="1">
      <c r="A220" s="8" t="s">
        <v>18</v>
      </c>
      <c r="B220" s="29" t="s">
        <v>54</v>
      </c>
      <c r="C220" s="8" t="s">
        <v>643</v>
      </c>
      <c r="D220" s="8" t="s">
        <v>656</v>
      </c>
      <c r="E220" s="8" t="s">
        <v>657</v>
      </c>
      <c r="F220" s="8"/>
      <c r="G220" s="8" t="s">
        <v>62</v>
      </c>
      <c r="H220" s="8" t="s">
        <v>658</v>
      </c>
      <c r="I220" s="8" t="s">
        <v>659</v>
      </c>
      <c r="J220" s="8"/>
      <c r="K220" s="8"/>
      <c r="L220" s="8"/>
      <c r="M220" s="8"/>
      <c r="N220" s="8"/>
      <c r="O220" s="8"/>
      <c r="P220" s="8"/>
      <c r="Q220" s="157"/>
      <c r="R220" s="8"/>
      <c r="S220" s="8"/>
      <c r="T220" s="8"/>
      <c r="U220" s="8"/>
      <c r="V220" s="8"/>
      <c r="W220" s="8"/>
      <c r="X220" s="8"/>
      <c r="Y220" s="8"/>
      <c r="Z220" s="8"/>
      <c r="AA220" s="8"/>
      <c r="AB220" s="8"/>
      <c r="AC220" s="314" t="str">
        <f t="shared" si="55"/>
        <v>no</v>
      </c>
      <c r="AD220" s="314">
        <f>COUNTA(first:Last!R220)</f>
        <v>0</v>
      </c>
      <c r="AE220" s="157">
        <f>SUM(first:Last!Z220)</f>
        <v>0</v>
      </c>
      <c r="AF220" s="157" t="str">
        <f t="shared" si="56"/>
        <v>yes</v>
      </c>
      <c r="AG220" s="157">
        <f>COUNTA(Last:end!M220)</f>
        <v>2</v>
      </c>
      <c r="AH220" s="520">
        <f>COUNTA(Last:end!M220)/6</f>
        <v>0.33333333333333331</v>
      </c>
      <c r="AI220" s="157">
        <f>SUM(Last:end!O220)</f>
        <v>0</v>
      </c>
      <c r="AJ220" s="157">
        <f>MIN(Last:end!L220)</f>
        <v>2023</v>
      </c>
      <c r="AK220" s="157" t="e">
        <f>IF(AND(AJ220&lt;=2023,#REF!="high interest / inadequate offer "),"yes","no")</f>
        <v>#REF!</v>
      </c>
      <c r="AL220" s="157" t="str">
        <f t="shared" si="57"/>
        <v>no</v>
      </c>
      <c r="AM220" s="157"/>
      <c r="AN220" s="157"/>
      <c r="AO220" s="157"/>
      <c r="AP220" s="157">
        <v>1</v>
      </c>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row>
    <row r="221" spans="1:209" s="26" customFormat="1" ht="62.25" customHeight="1">
      <c r="A221" s="8" t="s">
        <v>18</v>
      </c>
      <c r="B221" s="29" t="s">
        <v>54</v>
      </c>
      <c r="C221" s="8" t="s">
        <v>660</v>
      </c>
      <c r="D221" s="8" t="s">
        <v>661</v>
      </c>
      <c r="E221" s="8" t="s">
        <v>529</v>
      </c>
      <c r="F221" s="8"/>
      <c r="G221" s="8" t="s">
        <v>62</v>
      </c>
      <c r="H221" s="8" t="s">
        <v>530</v>
      </c>
      <c r="I221" s="8" t="s">
        <v>135</v>
      </c>
      <c r="J221" s="8"/>
      <c r="K221" s="8"/>
      <c r="L221" s="8"/>
      <c r="M221" s="8"/>
      <c r="N221" s="8"/>
      <c r="O221" s="8"/>
      <c r="P221" s="8"/>
      <c r="Q221" s="157"/>
      <c r="R221" s="8"/>
      <c r="S221" s="8"/>
      <c r="T221" s="8"/>
      <c r="U221" s="8"/>
      <c r="V221" s="8"/>
      <c r="W221" s="8"/>
      <c r="X221" s="8"/>
      <c r="Y221" s="8"/>
      <c r="Z221" s="8"/>
      <c r="AA221" s="8"/>
      <c r="AB221" s="8"/>
      <c r="AC221" s="314" t="str">
        <f t="shared" si="55"/>
        <v>yes</v>
      </c>
      <c r="AD221" s="314">
        <f>COUNTA(first:Last!R221)</f>
        <v>1</v>
      </c>
      <c r="AE221" s="157">
        <f>SUM(first:Last!Z221)</f>
        <v>0</v>
      </c>
      <c r="AF221" s="157" t="str">
        <f t="shared" si="56"/>
        <v>yes</v>
      </c>
      <c r="AG221" s="157">
        <f>COUNTA(Last:end!M221)</f>
        <v>3</v>
      </c>
      <c r="AH221" s="520">
        <f>COUNTA(Last:end!M221)/6</f>
        <v>0.5</v>
      </c>
      <c r="AI221" s="157">
        <f>SUM(Last:end!O221)</f>
        <v>0</v>
      </c>
      <c r="AJ221" s="157">
        <f>MIN(Last:end!L221)</f>
        <v>2023</v>
      </c>
      <c r="AK221" s="157" t="e">
        <f>IF(AND(AJ221&lt;=2023,#REF!="high interest / inadequate offer "),"yes","no")</f>
        <v>#REF!</v>
      </c>
      <c r="AL221" s="157" t="str">
        <f t="shared" si="57"/>
        <v>no</v>
      </c>
      <c r="AM221" s="157"/>
      <c r="AN221" s="157"/>
      <c r="AO221" s="157"/>
      <c r="AP221" s="157">
        <v>1</v>
      </c>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row>
    <row r="222" spans="1:209" s="26" customFormat="1" ht="62.25" customHeight="1">
      <c r="A222" s="8" t="s">
        <v>18</v>
      </c>
      <c r="B222" s="29" t="s">
        <v>54</v>
      </c>
      <c r="C222" s="8" t="s">
        <v>660</v>
      </c>
      <c r="D222" s="8" t="s">
        <v>662</v>
      </c>
      <c r="E222" s="8" t="s">
        <v>524</v>
      </c>
      <c r="F222" s="8"/>
      <c r="G222" s="8" t="s">
        <v>62</v>
      </c>
      <c r="H222" s="8" t="s">
        <v>525</v>
      </c>
      <c r="I222" s="8" t="s">
        <v>526</v>
      </c>
      <c r="J222" s="8"/>
      <c r="K222" s="8"/>
      <c r="L222" s="8"/>
      <c r="M222" s="8"/>
      <c r="N222" s="8"/>
      <c r="O222" s="8"/>
      <c r="P222" s="8"/>
      <c r="Q222" s="157"/>
      <c r="R222" s="8"/>
      <c r="S222" s="8"/>
      <c r="T222" s="8"/>
      <c r="U222" s="8"/>
      <c r="V222" s="8"/>
      <c r="W222" s="8"/>
      <c r="X222" s="8"/>
      <c r="Y222" s="8"/>
      <c r="Z222" s="8"/>
      <c r="AA222" s="8"/>
      <c r="AB222" s="8"/>
      <c r="AC222" s="314" t="str">
        <f t="shared" si="55"/>
        <v>yes</v>
      </c>
      <c r="AD222" s="314">
        <f>COUNTA(first:Last!R222)</f>
        <v>1</v>
      </c>
      <c r="AE222" s="157">
        <f>SUM(first:Last!Z222)</f>
        <v>0</v>
      </c>
      <c r="AF222" s="157" t="str">
        <f t="shared" si="56"/>
        <v>yes</v>
      </c>
      <c r="AG222" s="157">
        <f>COUNTA(Last:end!M222)</f>
        <v>2</v>
      </c>
      <c r="AH222" s="520">
        <f>COUNTA(Last:end!M222)/6</f>
        <v>0.33333333333333331</v>
      </c>
      <c r="AI222" s="157">
        <f>SUM(Last:end!O222)</f>
        <v>0</v>
      </c>
      <c r="AJ222" s="157">
        <f>MIN(Last:end!L222)</f>
        <v>2023</v>
      </c>
      <c r="AK222" s="157" t="e">
        <f>IF(AND(AJ222&lt;=2023,#REF!="high interest / inadequate offer "),"yes","no")</f>
        <v>#REF!</v>
      </c>
      <c r="AL222" s="157" t="str">
        <f t="shared" si="57"/>
        <v>no</v>
      </c>
      <c r="AM222" s="157"/>
      <c r="AN222" s="157"/>
      <c r="AO222" s="157"/>
      <c r="AP222" s="157">
        <v>1</v>
      </c>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row>
    <row r="223" spans="1:209" s="26" customFormat="1" ht="62.25" customHeight="1">
      <c r="A223" s="8" t="s">
        <v>18</v>
      </c>
      <c r="B223" s="29" t="s">
        <v>195</v>
      </c>
      <c r="C223" s="8" t="s">
        <v>663</v>
      </c>
      <c r="D223" s="8" t="s">
        <v>664</v>
      </c>
      <c r="E223" s="8" t="s">
        <v>665</v>
      </c>
      <c r="F223" s="8"/>
      <c r="G223" s="8" t="s">
        <v>62</v>
      </c>
      <c r="H223" s="8" t="s">
        <v>666</v>
      </c>
      <c r="I223" s="8" t="s">
        <v>667</v>
      </c>
      <c r="J223" s="8"/>
      <c r="K223" s="8"/>
      <c r="L223" s="8"/>
      <c r="M223" s="8"/>
      <c r="N223" s="8"/>
      <c r="O223" s="8"/>
      <c r="P223" s="8"/>
      <c r="Q223" s="157"/>
      <c r="R223" s="8"/>
      <c r="S223" s="8"/>
      <c r="T223" s="8"/>
      <c r="U223" s="8"/>
      <c r="V223" s="8"/>
      <c r="W223" s="8"/>
      <c r="X223" s="8"/>
      <c r="Y223" s="8"/>
      <c r="Z223" s="8"/>
      <c r="AA223" s="8"/>
      <c r="AB223" s="8"/>
      <c r="AC223" s="314" t="str">
        <f t="shared" si="55"/>
        <v>yes</v>
      </c>
      <c r="AD223" s="314">
        <f>COUNTA(first:Last!R223)</f>
        <v>1</v>
      </c>
      <c r="AE223" s="157">
        <f>SUM(first:Last!Z223)</f>
        <v>0</v>
      </c>
      <c r="AF223" s="157" t="str">
        <f t="shared" si="56"/>
        <v>yes</v>
      </c>
      <c r="AG223" s="157">
        <f>COUNTA(Last:end!M223)</f>
        <v>2</v>
      </c>
      <c r="AH223" s="520">
        <f>COUNTA(Last:end!M223)/6</f>
        <v>0.33333333333333331</v>
      </c>
      <c r="AI223" s="157">
        <f>SUM(Last:end!O223)</f>
        <v>0</v>
      </c>
      <c r="AJ223" s="157">
        <f>MIN(Last:end!L223)</f>
        <v>2022</v>
      </c>
      <c r="AK223" s="157" t="e">
        <f>IF(AND(AJ223&lt;=2023,#REF!="high interest / inadequate offer "),"yes","no")</f>
        <v>#REF!</v>
      </c>
      <c r="AL223" s="157" t="str">
        <f t="shared" si="57"/>
        <v>no</v>
      </c>
      <c r="AM223" s="157"/>
      <c r="AN223" s="157"/>
      <c r="AO223" s="157"/>
      <c r="AP223" s="157">
        <v>1</v>
      </c>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row>
    <row r="224" spans="1:209" s="26" customFormat="1" ht="62.25" customHeight="1">
      <c r="A224" s="8" t="s">
        <v>18</v>
      </c>
      <c r="B224" s="29" t="s">
        <v>195</v>
      </c>
      <c r="C224" s="8" t="s">
        <v>663</v>
      </c>
      <c r="D224" s="8" t="s">
        <v>668</v>
      </c>
      <c r="E224" s="8" t="s">
        <v>669</v>
      </c>
      <c r="F224" s="8"/>
      <c r="G224" s="8" t="s">
        <v>62</v>
      </c>
      <c r="H224" s="8" t="s">
        <v>670</v>
      </c>
      <c r="I224" s="8" t="s">
        <v>671</v>
      </c>
      <c r="J224" s="8"/>
      <c r="K224" s="8"/>
      <c r="L224" s="8"/>
      <c r="M224" s="8"/>
      <c r="N224" s="8"/>
      <c r="O224" s="8"/>
      <c r="P224" s="8"/>
      <c r="Q224" s="157"/>
      <c r="R224" s="8"/>
      <c r="S224" s="8"/>
      <c r="T224" s="8"/>
      <c r="U224" s="8"/>
      <c r="V224" s="8"/>
      <c r="W224" s="8"/>
      <c r="X224" s="8"/>
      <c r="Y224" s="8"/>
      <c r="Z224" s="8"/>
      <c r="AA224" s="8"/>
      <c r="AB224" s="8"/>
      <c r="AC224" s="314" t="str">
        <f t="shared" si="55"/>
        <v>yes</v>
      </c>
      <c r="AD224" s="314">
        <f>COUNTA(first:Last!R224)</f>
        <v>1</v>
      </c>
      <c r="AE224" s="157">
        <f>SUM(first:Last!Z224)</f>
        <v>0</v>
      </c>
      <c r="AF224" s="157" t="str">
        <f t="shared" si="56"/>
        <v>yes</v>
      </c>
      <c r="AG224" s="157">
        <f>COUNTA(Last:end!M224)</f>
        <v>3</v>
      </c>
      <c r="AH224" s="520">
        <f>COUNTA(Last:end!M224)/6</f>
        <v>0.5</v>
      </c>
      <c r="AI224" s="157">
        <f>SUM(Last:end!O224)</f>
        <v>0</v>
      </c>
      <c r="AJ224" s="157">
        <f>MIN(Last:end!L224)</f>
        <v>2022</v>
      </c>
      <c r="AK224" s="157" t="e">
        <f>IF(AND(AJ224&lt;=2023,#REF!="high interest / inadequate offer "),"yes","no")</f>
        <v>#REF!</v>
      </c>
      <c r="AL224" s="157" t="str">
        <f t="shared" si="57"/>
        <v>no</v>
      </c>
      <c r="AM224" s="157"/>
      <c r="AN224" s="157"/>
      <c r="AO224" s="157"/>
      <c r="AP224" s="157">
        <v>1</v>
      </c>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row>
    <row r="225" spans="1:209" s="26" customFormat="1" ht="62.25" customHeight="1">
      <c r="A225" s="8" t="s">
        <v>18</v>
      </c>
      <c r="B225" s="29" t="s">
        <v>195</v>
      </c>
      <c r="C225" s="8" t="s">
        <v>663</v>
      </c>
      <c r="D225" s="8" t="s">
        <v>672</v>
      </c>
      <c r="E225" s="8" t="s">
        <v>673</v>
      </c>
      <c r="F225" s="8"/>
      <c r="G225" s="8" t="s">
        <v>62</v>
      </c>
      <c r="H225" s="8" t="s">
        <v>537</v>
      </c>
      <c r="I225" s="8" t="s">
        <v>538</v>
      </c>
      <c r="J225" s="8"/>
      <c r="K225" s="8"/>
      <c r="L225" s="8"/>
      <c r="M225" s="8"/>
      <c r="N225" s="8"/>
      <c r="O225" s="8"/>
      <c r="P225" s="8"/>
      <c r="Q225" s="157"/>
      <c r="R225" s="8"/>
      <c r="S225" s="8"/>
      <c r="T225" s="8"/>
      <c r="U225" s="8"/>
      <c r="V225" s="8"/>
      <c r="W225" s="8"/>
      <c r="X225" s="8"/>
      <c r="Y225" s="8"/>
      <c r="Z225" s="8"/>
      <c r="AA225" s="8"/>
      <c r="AB225" s="8"/>
      <c r="AC225" s="314" t="str">
        <f t="shared" si="55"/>
        <v>yes</v>
      </c>
      <c r="AD225" s="314">
        <f>COUNTA(first:Last!R225)</f>
        <v>1</v>
      </c>
      <c r="AE225" s="157">
        <f>SUM(first:Last!Z225)</f>
        <v>0</v>
      </c>
      <c r="AF225" s="157" t="str">
        <f t="shared" si="56"/>
        <v>yes</v>
      </c>
      <c r="AG225" s="157">
        <f>COUNTA(Last:end!M225)</f>
        <v>3</v>
      </c>
      <c r="AH225" s="520">
        <f>COUNTA(Last:end!M225)/6</f>
        <v>0.5</v>
      </c>
      <c r="AI225" s="157">
        <f>SUM(Last:end!O225)</f>
        <v>0</v>
      </c>
      <c r="AJ225" s="157">
        <f>MIN(Last:end!L225)</f>
        <v>2023</v>
      </c>
      <c r="AK225" s="157" t="e">
        <f>IF(AND(AJ225&lt;=2023,#REF!="high interest / inadequate offer "),"yes","no")</f>
        <v>#REF!</v>
      </c>
      <c r="AL225" s="157" t="str">
        <f t="shared" si="57"/>
        <v>no</v>
      </c>
      <c r="AM225" s="157"/>
      <c r="AN225" s="157"/>
      <c r="AO225" s="157"/>
      <c r="AP225" s="157">
        <v>1</v>
      </c>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row>
    <row r="226" spans="1:209" s="26" customFormat="1" ht="62.25" customHeight="1">
      <c r="A226" s="8" t="s">
        <v>18</v>
      </c>
      <c r="B226" s="29" t="s">
        <v>195</v>
      </c>
      <c r="C226" s="8" t="s">
        <v>674</v>
      </c>
      <c r="D226" s="8" t="s">
        <v>675</v>
      </c>
      <c r="E226" s="8" t="s">
        <v>676</v>
      </c>
      <c r="F226" s="8"/>
      <c r="G226" s="8" t="s">
        <v>62</v>
      </c>
      <c r="H226" s="8" t="s">
        <v>677</v>
      </c>
      <c r="I226" s="9">
        <v>1</v>
      </c>
      <c r="J226" s="8"/>
      <c r="K226" s="8"/>
      <c r="L226" s="8"/>
      <c r="M226" s="8"/>
      <c r="N226" s="8"/>
      <c r="O226" s="8"/>
      <c r="P226" s="8"/>
      <c r="Q226" s="157"/>
      <c r="R226" s="8"/>
      <c r="S226" s="8"/>
      <c r="T226" s="8"/>
      <c r="U226" s="8"/>
      <c r="V226" s="8"/>
      <c r="W226" s="8"/>
      <c r="X226" s="8"/>
      <c r="Y226" s="8"/>
      <c r="Z226" s="8"/>
      <c r="AA226" s="8"/>
      <c r="AB226" s="8"/>
      <c r="AC226" s="314" t="str">
        <f t="shared" si="55"/>
        <v>yes</v>
      </c>
      <c r="AD226" s="314">
        <f>COUNTA(first:Last!R226)</f>
        <v>1</v>
      </c>
      <c r="AE226" s="157">
        <f>SUM(first:Last!Z226)</f>
        <v>0</v>
      </c>
      <c r="AF226" s="157" t="str">
        <f t="shared" si="56"/>
        <v>yes</v>
      </c>
      <c r="AG226" s="157">
        <f>COUNTA(Last:end!M226)</f>
        <v>3</v>
      </c>
      <c r="AH226" s="520">
        <f>COUNTA(Last:end!M226)/6</f>
        <v>0.5</v>
      </c>
      <c r="AI226" s="157">
        <f>SUM(Last:end!O226)</f>
        <v>0</v>
      </c>
      <c r="AJ226" s="157">
        <f>MIN(Last:end!L226)</f>
        <v>2023</v>
      </c>
      <c r="AK226" s="157" t="e">
        <f>IF(AND(AJ226&lt;=2023,#REF!="high interest / inadequate offer "),"yes","no")</f>
        <v>#REF!</v>
      </c>
      <c r="AL226" s="157" t="str">
        <f t="shared" si="57"/>
        <v>no</v>
      </c>
      <c r="AM226" s="157"/>
      <c r="AN226" s="157"/>
      <c r="AO226" s="157"/>
      <c r="AP226" s="157">
        <v>1</v>
      </c>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row>
    <row r="227" spans="1:209" s="26" customFormat="1" ht="62.25" customHeight="1">
      <c r="A227" s="8" t="s">
        <v>18</v>
      </c>
      <c r="B227" s="29" t="s">
        <v>195</v>
      </c>
      <c r="C227" s="8" t="s">
        <v>678</v>
      </c>
      <c r="D227" s="8" t="s">
        <v>679</v>
      </c>
      <c r="E227" s="63" t="s">
        <v>253</v>
      </c>
      <c r="F227" s="8"/>
      <c r="G227" s="20" t="s">
        <v>62</v>
      </c>
      <c r="H227" s="20"/>
      <c r="I227" s="22"/>
      <c r="J227" s="20"/>
      <c r="K227" s="20"/>
      <c r="L227" s="20"/>
      <c r="M227" s="20"/>
      <c r="N227" s="20"/>
      <c r="O227" s="20"/>
      <c r="P227" s="20"/>
      <c r="Q227" s="157"/>
      <c r="R227" s="20"/>
      <c r="S227" s="20"/>
      <c r="T227" s="20"/>
      <c r="U227" s="20"/>
      <c r="V227" s="20"/>
      <c r="W227" s="20"/>
      <c r="X227" s="20"/>
      <c r="Y227" s="20"/>
      <c r="Z227" s="20"/>
      <c r="AA227" s="20"/>
      <c r="AB227" s="20"/>
      <c r="AC227" s="65"/>
      <c r="AD227" s="65"/>
      <c r="AE227" s="65"/>
      <c r="AF227" s="65"/>
      <c r="AG227" s="20">
        <f>COUNTA(Last:end!M227)</f>
        <v>0</v>
      </c>
      <c r="AH227" s="22">
        <f>COUNTA(Last:end!M227)/6</f>
        <v>0</v>
      </c>
      <c r="AI227" s="65"/>
      <c r="AJ227" s="20">
        <f>MIN(Last:end!L227)</f>
        <v>0</v>
      </c>
      <c r="AK227" s="20" t="e">
        <f>IF(AND(AJ227&lt;=2023,#REF!="high interest / inadequate offer "),"yes","no")</f>
        <v>#REF!</v>
      </c>
      <c r="AL227" s="20" t="str">
        <f t="shared" si="57"/>
        <v>no</v>
      </c>
      <c r="AM227" s="157"/>
      <c r="AN227" s="157"/>
      <c r="AO227" s="157"/>
      <c r="AP227" s="157">
        <v>0</v>
      </c>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row>
    <row r="228" spans="1:209" s="26" customFormat="1" ht="62.25" customHeight="1">
      <c r="A228" s="8" t="s">
        <v>18</v>
      </c>
      <c r="B228" s="29" t="s">
        <v>195</v>
      </c>
      <c r="C228" s="8" t="s">
        <v>678</v>
      </c>
      <c r="D228" s="8" t="s">
        <v>680</v>
      </c>
      <c r="E228" s="69" t="s">
        <v>681</v>
      </c>
      <c r="F228" s="8"/>
      <c r="G228" s="8" t="s">
        <v>62</v>
      </c>
      <c r="H228" s="8" t="s">
        <v>254</v>
      </c>
      <c r="I228" s="9">
        <v>1</v>
      </c>
      <c r="J228" s="8"/>
      <c r="K228" s="8"/>
      <c r="L228" s="8"/>
      <c r="M228" s="8"/>
      <c r="N228" s="8"/>
      <c r="O228" s="8"/>
      <c r="P228" s="8"/>
      <c r="Q228" s="157"/>
      <c r="R228" s="8"/>
      <c r="S228" s="8"/>
      <c r="T228" s="8"/>
      <c r="U228" s="8"/>
      <c r="V228" s="8"/>
      <c r="W228" s="8"/>
      <c r="X228" s="8"/>
      <c r="Y228" s="8"/>
      <c r="Z228" s="8"/>
      <c r="AA228" s="8"/>
      <c r="AB228" s="8"/>
      <c r="AC228" s="314" t="str">
        <f t="shared" ref="AC228:AC235" si="58">IF(AD228&gt;0,"yes", "no")</f>
        <v>yes</v>
      </c>
      <c r="AD228" s="314">
        <f>COUNTA(first:Last!R228)</f>
        <v>1</v>
      </c>
      <c r="AE228" s="157">
        <f>SUM(first:Last!Z228)</f>
        <v>0</v>
      </c>
      <c r="AF228" s="157" t="str">
        <f t="shared" ref="AF228:AF235" si="59">IF(AH228&gt;0,"yes", "no")</f>
        <v>yes</v>
      </c>
      <c r="AG228" s="157">
        <f>COUNTA(Last:end!M228)</f>
        <v>2</v>
      </c>
      <c r="AH228" s="520">
        <f>COUNTA(Last:end!M228)/6</f>
        <v>0.33333333333333331</v>
      </c>
      <c r="AI228" s="157">
        <f>SUM(Last:end!O228)</f>
        <v>0</v>
      </c>
      <c r="AJ228" s="157">
        <f>MIN(Last:end!L228)</f>
        <v>0</v>
      </c>
      <c r="AK228" s="157" t="e">
        <f>IF(AND(AJ228&lt;=2023,#REF!="high interest / inadequate offer "),"yes","no")</f>
        <v>#REF!</v>
      </c>
      <c r="AL228" s="157" t="str">
        <f t="shared" si="57"/>
        <v>no</v>
      </c>
      <c r="AM228" s="157"/>
      <c r="AN228" s="157"/>
      <c r="AO228" s="157"/>
      <c r="AP228" s="157">
        <v>1</v>
      </c>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row>
    <row r="229" spans="1:209" s="26" customFormat="1" ht="62.25" customHeight="1">
      <c r="A229" s="8" t="s">
        <v>18</v>
      </c>
      <c r="B229" s="29" t="s">
        <v>195</v>
      </c>
      <c r="C229" s="8" t="s">
        <v>678</v>
      </c>
      <c r="D229" s="8" t="s">
        <v>682</v>
      </c>
      <c r="E229" s="69" t="s">
        <v>548</v>
      </c>
      <c r="F229" s="8"/>
      <c r="G229" s="8" t="s">
        <v>62</v>
      </c>
      <c r="H229" s="8" t="s">
        <v>549</v>
      </c>
      <c r="I229" s="9">
        <v>1</v>
      </c>
      <c r="J229" s="8"/>
      <c r="K229" s="8"/>
      <c r="L229" s="8"/>
      <c r="M229" s="8"/>
      <c r="N229" s="8"/>
      <c r="O229" s="8"/>
      <c r="P229" s="8"/>
      <c r="Q229" s="157"/>
      <c r="R229" s="8"/>
      <c r="S229" s="8"/>
      <c r="T229" s="8"/>
      <c r="U229" s="8"/>
      <c r="V229" s="8"/>
      <c r="W229" s="8"/>
      <c r="X229" s="8"/>
      <c r="Y229" s="8"/>
      <c r="Z229" s="8"/>
      <c r="AA229" s="8"/>
      <c r="AB229" s="8"/>
      <c r="AC229" s="314" t="str">
        <f t="shared" si="58"/>
        <v>no</v>
      </c>
      <c r="AD229" s="314">
        <f>COUNTA(first:Last!R229)</f>
        <v>0</v>
      </c>
      <c r="AE229" s="157">
        <f>SUM(first:Last!Z229)</f>
        <v>0</v>
      </c>
      <c r="AF229" s="157" t="str">
        <f t="shared" si="59"/>
        <v>yes</v>
      </c>
      <c r="AG229" s="157">
        <f>COUNTA(Last:end!M229)</f>
        <v>3</v>
      </c>
      <c r="AH229" s="520">
        <f>COUNTA(Last:end!M229)/6</f>
        <v>0.5</v>
      </c>
      <c r="AI229" s="157">
        <f>SUM(Last:end!O229)</f>
        <v>0</v>
      </c>
      <c r="AJ229" s="157">
        <f>MIN(Last:end!L229)</f>
        <v>2023</v>
      </c>
      <c r="AK229" s="157" t="e">
        <f>IF(AND(AJ229&lt;=2023,#REF!="high interest / inadequate offer "),"yes","no")</f>
        <v>#REF!</v>
      </c>
      <c r="AL229" s="157" t="str">
        <f t="shared" si="57"/>
        <v>no</v>
      </c>
      <c r="AM229" s="157"/>
      <c r="AN229" s="157"/>
      <c r="AO229" s="157"/>
      <c r="AP229" s="157">
        <v>1</v>
      </c>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row>
    <row r="230" spans="1:209" s="26" customFormat="1" ht="62.25" customHeight="1">
      <c r="A230" s="8" t="s">
        <v>18</v>
      </c>
      <c r="B230" s="29" t="s">
        <v>195</v>
      </c>
      <c r="C230" s="8" t="s">
        <v>678</v>
      </c>
      <c r="D230" s="8" t="s">
        <v>683</v>
      </c>
      <c r="E230" s="69" t="s">
        <v>684</v>
      </c>
      <c r="F230" s="8"/>
      <c r="G230" s="8" t="s">
        <v>62</v>
      </c>
      <c r="H230" s="8" t="s">
        <v>685</v>
      </c>
      <c r="I230" s="9">
        <v>1</v>
      </c>
      <c r="J230" s="8"/>
      <c r="K230" s="8"/>
      <c r="L230" s="8"/>
      <c r="M230" s="8"/>
      <c r="N230" s="8"/>
      <c r="O230" s="8"/>
      <c r="P230" s="8"/>
      <c r="Q230" s="157"/>
      <c r="R230" s="8"/>
      <c r="S230" s="8"/>
      <c r="T230" s="8"/>
      <c r="U230" s="8"/>
      <c r="V230" s="8"/>
      <c r="W230" s="8"/>
      <c r="X230" s="8"/>
      <c r="Y230" s="8"/>
      <c r="Z230" s="8"/>
      <c r="AA230" s="8"/>
      <c r="AB230" s="8"/>
      <c r="AC230" s="314" t="str">
        <f t="shared" si="58"/>
        <v>no</v>
      </c>
      <c r="AD230" s="314">
        <f>COUNTA(first:Last!R230)</f>
        <v>0</v>
      </c>
      <c r="AE230" s="157">
        <f>SUM(first:Last!Z230)</f>
        <v>0</v>
      </c>
      <c r="AF230" s="157" t="str">
        <f t="shared" si="59"/>
        <v>yes</v>
      </c>
      <c r="AG230" s="157">
        <f>COUNTA(Last:end!M230)</f>
        <v>3</v>
      </c>
      <c r="AH230" s="520">
        <f>COUNTA(Last:end!M230)/6</f>
        <v>0.5</v>
      </c>
      <c r="AI230" s="157">
        <f>SUM(Last:end!O230)</f>
        <v>0</v>
      </c>
      <c r="AJ230" s="157">
        <f>MIN(Last:end!L230)</f>
        <v>2023</v>
      </c>
      <c r="AK230" s="157" t="e">
        <f>IF(AND(AJ230&lt;=2023,#REF!="high interest / inadequate offer "),"yes","no")</f>
        <v>#REF!</v>
      </c>
      <c r="AL230" s="157" t="str">
        <f t="shared" si="57"/>
        <v>no</v>
      </c>
      <c r="AM230" s="157"/>
      <c r="AN230" s="157"/>
      <c r="AO230" s="157"/>
      <c r="AP230" s="157">
        <v>1</v>
      </c>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row>
    <row r="231" spans="1:209" s="26" customFormat="1" ht="62.25" customHeight="1">
      <c r="A231" s="8" t="s">
        <v>18</v>
      </c>
      <c r="B231" s="29" t="s">
        <v>195</v>
      </c>
      <c r="C231" s="8" t="s">
        <v>686</v>
      </c>
      <c r="D231" s="8" t="s">
        <v>687</v>
      </c>
      <c r="E231" s="8" t="s">
        <v>688</v>
      </c>
      <c r="F231" s="8"/>
      <c r="G231" s="8" t="s">
        <v>62</v>
      </c>
      <c r="H231" s="8" t="s">
        <v>259</v>
      </c>
      <c r="I231" s="8" t="s">
        <v>210</v>
      </c>
      <c r="J231" s="8"/>
      <c r="K231" s="8"/>
      <c r="L231" s="8"/>
      <c r="M231" s="8"/>
      <c r="N231" s="8"/>
      <c r="O231" s="8"/>
      <c r="P231" s="8"/>
      <c r="Q231" s="157"/>
      <c r="R231" s="8"/>
      <c r="S231" s="8"/>
      <c r="T231" s="8"/>
      <c r="U231" s="8"/>
      <c r="V231" s="8"/>
      <c r="W231" s="8"/>
      <c r="X231" s="8"/>
      <c r="Y231" s="8"/>
      <c r="Z231" s="8"/>
      <c r="AA231" s="8"/>
      <c r="AB231" s="8"/>
      <c r="AC231" s="314" t="str">
        <f t="shared" si="58"/>
        <v>no</v>
      </c>
      <c r="AD231" s="314">
        <f>COUNTA(first:Last!R231)</f>
        <v>0</v>
      </c>
      <c r="AE231" s="157">
        <f>SUM(first:Last!Z231)</f>
        <v>0</v>
      </c>
      <c r="AF231" s="157" t="str">
        <f t="shared" si="59"/>
        <v>yes</v>
      </c>
      <c r="AG231" s="157">
        <f>COUNTA(Last:end!M231)</f>
        <v>2</v>
      </c>
      <c r="AH231" s="520">
        <f>COUNTA(Last:end!M231)/6</f>
        <v>0.33333333333333331</v>
      </c>
      <c r="AI231" s="157">
        <f>SUM(Last:end!O231)</f>
        <v>0</v>
      </c>
      <c r="AJ231" s="157">
        <f>MIN(Last:end!L231)</f>
        <v>0</v>
      </c>
      <c r="AK231" s="157" t="e">
        <f>IF(AND(AJ231&lt;=2023,#REF!="high interest / inadequate offer "),"yes","no")</f>
        <v>#REF!</v>
      </c>
      <c r="AL231" s="157" t="str">
        <f t="shared" si="57"/>
        <v>no</v>
      </c>
      <c r="AM231" s="157"/>
      <c r="AN231" s="157"/>
      <c r="AO231" s="157"/>
      <c r="AP231" s="157">
        <v>1</v>
      </c>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row>
    <row r="232" spans="1:209" s="26" customFormat="1" ht="62.25" customHeight="1">
      <c r="A232" s="8" t="s">
        <v>18</v>
      </c>
      <c r="B232" s="29" t="s">
        <v>274</v>
      </c>
      <c r="C232" s="8" t="s">
        <v>689</v>
      </c>
      <c r="D232" s="8" t="s">
        <v>690</v>
      </c>
      <c r="E232" s="8" t="s">
        <v>691</v>
      </c>
      <c r="F232" s="8"/>
      <c r="G232" s="8" t="s">
        <v>62</v>
      </c>
      <c r="H232" s="8" t="s">
        <v>692</v>
      </c>
      <c r="I232" s="9">
        <v>1</v>
      </c>
      <c r="J232" s="8"/>
      <c r="K232" s="8"/>
      <c r="L232" s="8"/>
      <c r="M232" s="8"/>
      <c r="N232" s="8"/>
      <c r="O232" s="8"/>
      <c r="P232" s="8"/>
      <c r="Q232" s="157"/>
      <c r="R232" s="8"/>
      <c r="S232" s="8"/>
      <c r="T232" s="8"/>
      <c r="U232" s="8"/>
      <c r="V232" s="8"/>
      <c r="W232" s="8"/>
      <c r="X232" s="8"/>
      <c r="Y232" s="8"/>
      <c r="Z232" s="8"/>
      <c r="AA232" s="8"/>
      <c r="AB232" s="8"/>
      <c r="AC232" s="314" t="str">
        <f t="shared" si="58"/>
        <v>yes</v>
      </c>
      <c r="AD232" s="314">
        <f>COUNTA(first:Last!R232)</f>
        <v>1</v>
      </c>
      <c r="AE232" s="157">
        <f>SUM(first:Last!Z232)</f>
        <v>0</v>
      </c>
      <c r="AF232" s="157" t="str">
        <f t="shared" si="59"/>
        <v>yes</v>
      </c>
      <c r="AG232" s="157">
        <f>COUNTA(Last:end!M232)</f>
        <v>3</v>
      </c>
      <c r="AH232" s="520">
        <f>COUNTA(Last:end!M232)/6</f>
        <v>0.5</v>
      </c>
      <c r="AI232" s="157">
        <f>SUM(Last:end!O232)</f>
        <v>0</v>
      </c>
      <c r="AJ232" s="157">
        <f>MIN(Last:end!L232)</f>
        <v>2023</v>
      </c>
      <c r="AK232" s="157" t="e">
        <f>IF(AND(AJ232&lt;=2023,#REF!="high interest / inadequate offer "),"yes","no")</f>
        <v>#REF!</v>
      </c>
      <c r="AL232" s="157" t="str">
        <f t="shared" si="57"/>
        <v>no</v>
      </c>
      <c r="AM232" s="157"/>
      <c r="AN232" s="157"/>
      <c r="AO232" s="157"/>
      <c r="AP232" s="157">
        <v>1</v>
      </c>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row>
    <row r="233" spans="1:209" s="26" customFormat="1" ht="62.25" customHeight="1">
      <c r="A233" s="8" t="s">
        <v>18</v>
      </c>
      <c r="B233" s="29" t="s">
        <v>274</v>
      </c>
      <c r="C233" s="8" t="s">
        <v>693</v>
      </c>
      <c r="D233" s="8" t="s">
        <v>694</v>
      </c>
      <c r="E233" s="8" t="s">
        <v>695</v>
      </c>
      <c r="F233" s="8"/>
      <c r="G233" s="8" t="s">
        <v>62</v>
      </c>
      <c r="H233" s="8" t="s">
        <v>696</v>
      </c>
      <c r="I233" s="8" t="s">
        <v>697</v>
      </c>
      <c r="J233" s="8"/>
      <c r="K233" s="8"/>
      <c r="L233" s="8"/>
      <c r="M233" s="8"/>
      <c r="N233" s="8"/>
      <c r="O233" s="8"/>
      <c r="P233" s="8"/>
      <c r="Q233" s="157"/>
      <c r="R233" s="8"/>
      <c r="S233" s="8"/>
      <c r="T233" s="8"/>
      <c r="U233" s="8"/>
      <c r="V233" s="8"/>
      <c r="W233" s="8"/>
      <c r="X233" s="8"/>
      <c r="Y233" s="8"/>
      <c r="Z233" s="8"/>
      <c r="AA233" s="8"/>
      <c r="AB233" s="8"/>
      <c r="AC233" s="314" t="str">
        <f t="shared" si="58"/>
        <v>yes</v>
      </c>
      <c r="AD233" s="314">
        <f>COUNTA(first:Last!R233)</f>
        <v>2</v>
      </c>
      <c r="AE233" s="157">
        <f>SUM(first:Last!Z233)</f>
        <v>0</v>
      </c>
      <c r="AF233" s="157" t="str">
        <f t="shared" si="59"/>
        <v>yes</v>
      </c>
      <c r="AG233" s="157">
        <f>COUNTA(Last:end!M233)</f>
        <v>1</v>
      </c>
      <c r="AH233" s="520">
        <f>COUNTA(Last:end!M233)/6</f>
        <v>0.16666666666666666</v>
      </c>
      <c r="AI233" s="157">
        <f>SUM(Last:end!O233)</f>
        <v>0</v>
      </c>
      <c r="AJ233" s="157">
        <f>MIN(Last:end!L233)</f>
        <v>2023</v>
      </c>
      <c r="AK233" s="157" t="e">
        <f>IF(AND(AJ233&lt;=2023,#REF!="high interest / inadequate offer "),"yes","no")</f>
        <v>#REF!</v>
      </c>
      <c r="AL233" s="157" t="str">
        <f t="shared" si="57"/>
        <v>yes</v>
      </c>
      <c r="AM233" s="157"/>
      <c r="AN233" s="157"/>
      <c r="AO233" s="157"/>
      <c r="AP233" s="157">
        <v>1</v>
      </c>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row>
    <row r="234" spans="1:209" s="26" customFormat="1" ht="62.25" customHeight="1">
      <c r="A234" s="8" t="s">
        <v>18</v>
      </c>
      <c r="B234" s="29" t="s">
        <v>274</v>
      </c>
      <c r="C234" s="8" t="s">
        <v>693</v>
      </c>
      <c r="D234" s="8" t="s">
        <v>698</v>
      </c>
      <c r="E234" s="8" t="s">
        <v>699</v>
      </c>
      <c r="F234" s="8"/>
      <c r="G234" s="8" t="s">
        <v>62</v>
      </c>
      <c r="H234" s="8" t="s">
        <v>700</v>
      </c>
      <c r="I234" s="8" t="s">
        <v>701</v>
      </c>
      <c r="J234" s="8"/>
      <c r="K234" s="8"/>
      <c r="L234" s="8"/>
      <c r="M234" s="8"/>
      <c r="N234" s="8"/>
      <c r="O234" s="8"/>
      <c r="P234" s="8"/>
      <c r="Q234" s="157"/>
      <c r="R234" s="8"/>
      <c r="S234" s="8"/>
      <c r="T234" s="8"/>
      <c r="U234" s="8"/>
      <c r="V234" s="8"/>
      <c r="W234" s="8"/>
      <c r="X234" s="8"/>
      <c r="Y234" s="8"/>
      <c r="Z234" s="8"/>
      <c r="AA234" s="8"/>
      <c r="AB234" s="8"/>
      <c r="AC234" s="314" t="str">
        <f t="shared" si="58"/>
        <v>yes</v>
      </c>
      <c r="AD234" s="314">
        <f>COUNTA(first:Last!R234)</f>
        <v>4</v>
      </c>
      <c r="AE234" s="157">
        <f>SUM(first:Last!Z234)</f>
        <v>0</v>
      </c>
      <c r="AF234" s="157" t="str">
        <f t="shared" si="59"/>
        <v>yes</v>
      </c>
      <c r="AG234" s="157">
        <f>COUNTA(Last:end!M234)</f>
        <v>2</v>
      </c>
      <c r="AH234" s="520">
        <f>COUNTA(Last:end!M234)/6</f>
        <v>0.33333333333333331</v>
      </c>
      <c r="AI234" s="157">
        <f>SUM(Last:end!O234)</f>
        <v>0</v>
      </c>
      <c r="AJ234" s="157">
        <f>MIN(Last:end!L234)</f>
        <v>0</v>
      </c>
      <c r="AK234" s="157" t="e">
        <f>IF(AND(AJ234&lt;=2023,#REF!="high interest / inadequate offer "),"yes","no")</f>
        <v>#REF!</v>
      </c>
      <c r="AL234" s="157" t="str">
        <f t="shared" si="57"/>
        <v>yes</v>
      </c>
      <c r="AM234" s="157"/>
      <c r="AN234" s="157"/>
      <c r="AO234" s="157"/>
      <c r="AP234" s="157">
        <v>1</v>
      </c>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row>
    <row r="235" spans="1:209" s="26" customFormat="1" ht="62.25" customHeight="1">
      <c r="A235" s="8" t="s">
        <v>18</v>
      </c>
      <c r="B235" s="29" t="s">
        <v>274</v>
      </c>
      <c r="C235" s="8" t="s">
        <v>693</v>
      </c>
      <c r="D235" s="8" t="s">
        <v>702</v>
      </c>
      <c r="E235" s="8" t="s">
        <v>579</v>
      </c>
      <c r="F235" s="8"/>
      <c r="G235" s="8" t="s">
        <v>62</v>
      </c>
      <c r="H235" s="8" t="s">
        <v>703</v>
      </c>
      <c r="I235" s="8" t="s">
        <v>701</v>
      </c>
      <c r="J235" s="8"/>
      <c r="K235" s="8"/>
      <c r="L235" s="8"/>
      <c r="M235" s="8"/>
      <c r="N235" s="8"/>
      <c r="O235" s="8"/>
      <c r="P235" s="8"/>
      <c r="Q235" s="157"/>
      <c r="R235" s="8"/>
      <c r="S235" s="8"/>
      <c r="T235" s="8"/>
      <c r="U235" s="8"/>
      <c r="V235" s="8"/>
      <c r="W235" s="8"/>
      <c r="X235" s="8"/>
      <c r="Y235" s="8"/>
      <c r="Z235" s="8"/>
      <c r="AA235" s="8"/>
      <c r="AB235" s="8"/>
      <c r="AC235" s="314" t="str">
        <f t="shared" si="58"/>
        <v>yes</v>
      </c>
      <c r="AD235" s="314">
        <f>COUNTA(first:Last!R235)</f>
        <v>3</v>
      </c>
      <c r="AE235" s="157">
        <f>SUM(first:Last!Z235)</f>
        <v>0</v>
      </c>
      <c r="AF235" s="157" t="str">
        <f t="shared" si="59"/>
        <v>yes</v>
      </c>
      <c r="AG235" s="157">
        <f>COUNTA(Last:end!M235)</f>
        <v>2</v>
      </c>
      <c r="AH235" s="520">
        <f>COUNTA(Last:end!M235)/6</f>
        <v>0.33333333333333331</v>
      </c>
      <c r="AI235" s="157">
        <f>SUM(Last:end!O235)</f>
        <v>0</v>
      </c>
      <c r="AJ235" s="157">
        <f>MIN(Last:end!L235)</f>
        <v>2023</v>
      </c>
      <c r="AK235" s="157" t="e">
        <f>IF(AND(AJ235&lt;=2023,#REF!="high interest / inadequate offer "),"yes","no")</f>
        <v>#REF!</v>
      </c>
      <c r="AL235" s="157" t="str">
        <f t="shared" si="57"/>
        <v>yes</v>
      </c>
      <c r="AM235" s="157"/>
      <c r="AN235" s="157"/>
      <c r="AO235" s="157"/>
      <c r="AP235" s="157">
        <v>1</v>
      </c>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row>
    <row r="236" spans="1:209" s="26" customFormat="1" ht="47.25">
      <c r="A236" s="20" t="s">
        <v>18</v>
      </c>
      <c r="B236" s="30" t="s">
        <v>274</v>
      </c>
      <c r="C236" s="19" t="s">
        <v>704</v>
      </c>
      <c r="D236" s="19" t="s">
        <v>582</v>
      </c>
      <c r="E236" s="19" t="s">
        <v>582</v>
      </c>
      <c r="F236" s="19" t="s">
        <v>582</v>
      </c>
      <c r="G236" s="19" t="s">
        <v>582</v>
      </c>
      <c r="H236" s="19" t="s">
        <v>582</v>
      </c>
      <c r="I236" s="19" t="s">
        <v>582</v>
      </c>
      <c r="J236" s="19" t="s">
        <v>582</v>
      </c>
      <c r="K236" s="19" t="s">
        <v>582</v>
      </c>
      <c r="L236" s="19" t="s">
        <v>582</v>
      </c>
      <c r="M236" s="19" t="s">
        <v>582</v>
      </c>
      <c r="N236" s="19" t="s">
        <v>582</v>
      </c>
      <c r="O236" s="19" t="s">
        <v>582</v>
      </c>
      <c r="P236" s="19" t="s">
        <v>582</v>
      </c>
      <c r="Q236" s="549"/>
      <c r="R236" s="19" t="s">
        <v>582</v>
      </c>
      <c r="S236" s="19" t="s">
        <v>582</v>
      </c>
      <c r="T236" s="19" t="s">
        <v>582</v>
      </c>
      <c r="U236" s="19"/>
      <c r="V236" s="19" t="s">
        <v>582</v>
      </c>
      <c r="W236" s="19" t="s">
        <v>582</v>
      </c>
      <c r="X236" s="19" t="s">
        <v>582</v>
      </c>
      <c r="Y236" s="19" t="s">
        <v>582</v>
      </c>
      <c r="Z236" s="19" t="s">
        <v>582</v>
      </c>
      <c r="AA236" s="19" t="s">
        <v>582</v>
      </c>
      <c r="AB236" s="19"/>
      <c r="AC236" s="157"/>
      <c r="AD236" s="157"/>
      <c r="AE236" s="157"/>
      <c r="AF236" s="157"/>
      <c r="AG236" s="20"/>
      <c r="AH236" s="20"/>
      <c r="AI236" s="20"/>
      <c r="AJ236" s="20"/>
      <c r="AK236" s="20"/>
      <c r="AL236" s="20"/>
      <c r="AM236" s="157"/>
      <c r="AN236" s="157"/>
      <c r="AO236" s="157"/>
      <c r="AP236" s="157">
        <v>0</v>
      </c>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row>
    <row r="237" spans="1:209" s="26" customFormat="1" ht="62.25" customHeight="1">
      <c r="A237" s="8" t="s">
        <v>18</v>
      </c>
      <c r="B237" s="29" t="s">
        <v>274</v>
      </c>
      <c r="C237" s="8" t="s">
        <v>705</v>
      </c>
      <c r="D237" s="8" t="s">
        <v>706</v>
      </c>
      <c r="E237" s="8" t="s">
        <v>707</v>
      </c>
      <c r="F237" s="8"/>
      <c r="G237" s="8" t="s">
        <v>62</v>
      </c>
      <c r="H237" s="8" t="s">
        <v>708</v>
      </c>
      <c r="I237" s="9">
        <v>1</v>
      </c>
      <c r="J237" s="8"/>
      <c r="K237" s="8"/>
      <c r="L237" s="8"/>
      <c r="M237" s="8"/>
      <c r="N237" s="8"/>
      <c r="O237" s="8"/>
      <c r="P237" s="8"/>
      <c r="Q237" s="157"/>
      <c r="R237" s="8"/>
      <c r="S237" s="8"/>
      <c r="T237" s="8"/>
      <c r="U237" s="8"/>
      <c r="V237" s="8"/>
      <c r="W237" s="8"/>
      <c r="X237" s="8"/>
      <c r="Y237" s="8"/>
      <c r="Z237" s="8"/>
      <c r="AA237" s="8"/>
      <c r="AB237" s="8"/>
      <c r="AC237" s="314" t="str">
        <f t="shared" ref="AC237:AC240" si="60">IF(AD237&gt;0,"yes", "no")</f>
        <v>yes</v>
      </c>
      <c r="AD237" s="314">
        <f>COUNTA(first:Last!R237)</f>
        <v>1</v>
      </c>
      <c r="AE237" s="157">
        <f>SUM(first:Last!Z237)</f>
        <v>0</v>
      </c>
      <c r="AF237" s="157" t="str">
        <f t="shared" ref="AF237:AF240" si="61">IF(AH237&gt;0,"yes", "no")</f>
        <v>yes</v>
      </c>
      <c r="AG237" s="157">
        <f>COUNTA(Last:end!M237)</f>
        <v>2</v>
      </c>
      <c r="AH237" s="520">
        <f>COUNTA(Last:end!M237)/6</f>
        <v>0.33333333333333331</v>
      </c>
      <c r="AI237" s="157">
        <f>SUM(Last:end!O237)</f>
        <v>0</v>
      </c>
      <c r="AJ237" s="157">
        <f>MIN(Last:end!L237)</f>
        <v>0</v>
      </c>
      <c r="AK237" s="157" t="e">
        <f>IF(AND(AJ237&lt;=2023,#REF!="high interest / inadequate offer "),"yes","no")</f>
        <v>#REF!</v>
      </c>
      <c r="AL237" s="157" t="str">
        <f t="shared" ref="AL237:AL255" si="62">IF(AD237&gt;1,"yes", "no")</f>
        <v>no</v>
      </c>
      <c r="AM237" s="157"/>
      <c r="AN237" s="157"/>
      <c r="AO237" s="157"/>
      <c r="AP237" s="157">
        <v>1</v>
      </c>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row>
    <row r="238" spans="1:209" s="26" customFormat="1" ht="62.25" customHeight="1">
      <c r="A238" s="8" t="s">
        <v>18</v>
      </c>
      <c r="B238" s="29" t="s">
        <v>274</v>
      </c>
      <c r="C238" s="8" t="s">
        <v>705</v>
      </c>
      <c r="D238" s="8" t="s">
        <v>709</v>
      </c>
      <c r="E238" s="8" t="s">
        <v>710</v>
      </c>
      <c r="F238" s="8"/>
      <c r="G238" s="8" t="s">
        <v>62</v>
      </c>
      <c r="H238" s="8" t="s">
        <v>711</v>
      </c>
      <c r="I238" s="9">
        <v>1</v>
      </c>
      <c r="J238" s="8"/>
      <c r="K238" s="8"/>
      <c r="L238" s="8"/>
      <c r="M238" s="8"/>
      <c r="N238" s="8"/>
      <c r="O238" s="8"/>
      <c r="P238" s="8"/>
      <c r="Q238" s="157"/>
      <c r="R238" s="8"/>
      <c r="S238" s="8"/>
      <c r="T238" s="8"/>
      <c r="U238" s="8"/>
      <c r="V238" s="8"/>
      <c r="W238" s="8"/>
      <c r="X238" s="8"/>
      <c r="Y238" s="8"/>
      <c r="Z238" s="8"/>
      <c r="AA238" s="8"/>
      <c r="AB238" s="8"/>
      <c r="AC238" s="314" t="str">
        <f t="shared" si="60"/>
        <v>yes</v>
      </c>
      <c r="AD238" s="314">
        <f>COUNTA(first:Last!R238)</f>
        <v>1</v>
      </c>
      <c r="AE238" s="157">
        <f>SUM(first:Last!Z238)</f>
        <v>0</v>
      </c>
      <c r="AF238" s="157" t="str">
        <f t="shared" si="61"/>
        <v>yes</v>
      </c>
      <c r="AG238" s="157">
        <f>COUNTA(Last:end!M238)</f>
        <v>1</v>
      </c>
      <c r="AH238" s="520">
        <f>COUNTA(Last:end!M238)/6</f>
        <v>0.16666666666666666</v>
      </c>
      <c r="AI238" s="157">
        <f>SUM(Last:end!O238)</f>
        <v>0</v>
      </c>
      <c r="AJ238" s="157">
        <f>MIN(Last:end!L238)</f>
        <v>0</v>
      </c>
      <c r="AK238" s="157" t="e">
        <f>IF(AND(AJ238&lt;=2023,#REF!="high interest / inadequate offer "),"yes","no")</f>
        <v>#REF!</v>
      </c>
      <c r="AL238" s="157" t="str">
        <f t="shared" si="62"/>
        <v>no</v>
      </c>
      <c r="AM238" s="157"/>
      <c r="AN238" s="157"/>
      <c r="AO238" s="157"/>
      <c r="AP238" s="157">
        <v>1</v>
      </c>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row>
    <row r="239" spans="1:209" s="26" customFormat="1" ht="62.25" customHeight="1">
      <c r="A239" s="8" t="s">
        <v>18</v>
      </c>
      <c r="B239" s="29" t="s">
        <v>274</v>
      </c>
      <c r="C239" s="8" t="s">
        <v>705</v>
      </c>
      <c r="D239" s="8" t="s">
        <v>712</v>
      </c>
      <c r="E239" s="8" t="s">
        <v>713</v>
      </c>
      <c r="F239" s="8"/>
      <c r="G239" s="8" t="s">
        <v>62</v>
      </c>
      <c r="H239" s="8" t="s">
        <v>714</v>
      </c>
      <c r="I239" s="9">
        <v>1</v>
      </c>
      <c r="J239" s="8"/>
      <c r="K239" s="8"/>
      <c r="L239" s="8"/>
      <c r="M239" s="8"/>
      <c r="N239" s="8"/>
      <c r="O239" s="8"/>
      <c r="P239" s="8"/>
      <c r="Q239" s="157"/>
      <c r="R239" s="8"/>
      <c r="S239" s="8"/>
      <c r="T239" s="8"/>
      <c r="U239" s="8"/>
      <c r="V239" s="8"/>
      <c r="W239" s="8"/>
      <c r="X239" s="8"/>
      <c r="Y239" s="8"/>
      <c r="Z239" s="8"/>
      <c r="AA239" s="8"/>
      <c r="AB239" s="8"/>
      <c r="AC239" s="314" t="str">
        <f t="shared" si="60"/>
        <v>yes</v>
      </c>
      <c r="AD239" s="314">
        <f>COUNTA(first:Last!R239)</f>
        <v>1</v>
      </c>
      <c r="AE239" s="157">
        <f>SUM(first:Last!Z239)</f>
        <v>0</v>
      </c>
      <c r="AF239" s="157" t="str">
        <f t="shared" si="61"/>
        <v>yes</v>
      </c>
      <c r="AG239" s="157">
        <f>COUNTA(Last:end!M239)</f>
        <v>1</v>
      </c>
      <c r="AH239" s="520">
        <f>COUNTA(Last:end!M239)/6</f>
        <v>0.16666666666666666</v>
      </c>
      <c r="AI239" s="157">
        <f>SUM(Last:end!O239)</f>
        <v>0</v>
      </c>
      <c r="AJ239" s="157">
        <f>MIN(Last:end!L239)</f>
        <v>0</v>
      </c>
      <c r="AK239" s="157" t="e">
        <f>IF(AND(AJ239&lt;=2023,#REF!="high interest / inadequate offer "),"yes","no")</f>
        <v>#REF!</v>
      </c>
      <c r="AL239" s="157" t="str">
        <f t="shared" si="62"/>
        <v>no</v>
      </c>
      <c r="AM239" s="157"/>
      <c r="AN239" s="157"/>
      <c r="AO239" s="157"/>
      <c r="AP239" s="157">
        <v>1</v>
      </c>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row>
    <row r="240" spans="1:209" s="26" customFormat="1" ht="62.25" customHeight="1">
      <c r="A240" s="8" t="s">
        <v>18</v>
      </c>
      <c r="B240" s="29" t="s">
        <v>587</v>
      </c>
      <c r="C240" s="8" t="s">
        <v>715</v>
      </c>
      <c r="D240" s="8" t="s">
        <v>716</v>
      </c>
      <c r="E240" s="8" t="s">
        <v>717</v>
      </c>
      <c r="F240" s="8"/>
      <c r="G240" s="8" t="s">
        <v>62</v>
      </c>
      <c r="H240" s="8" t="s">
        <v>591</v>
      </c>
      <c r="I240" s="9">
        <v>1</v>
      </c>
      <c r="J240" s="8"/>
      <c r="K240" s="8"/>
      <c r="L240" s="8"/>
      <c r="M240" s="8"/>
      <c r="N240" s="8"/>
      <c r="O240" s="8"/>
      <c r="P240" s="8"/>
      <c r="Q240" s="157"/>
      <c r="R240" s="8"/>
      <c r="S240" s="8"/>
      <c r="T240" s="8"/>
      <c r="U240" s="8"/>
      <c r="V240" s="8"/>
      <c r="W240" s="8"/>
      <c r="X240" s="8"/>
      <c r="Y240" s="8"/>
      <c r="Z240" s="8"/>
      <c r="AA240" s="8"/>
      <c r="AB240" s="8"/>
      <c r="AC240" s="314" t="str">
        <f t="shared" si="60"/>
        <v>yes</v>
      </c>
      <c r="AD240" s="314">
        <f>COUNTA(first:Last!R240)</f>
        <v>1</v>
      </c>
      <c r="AE240" s="157">
        <f>SUM(first:Last!Z240)</f>
        <v>0</v>
      </c>
      <c r="AF240" s="157" t="str">
        <f t="shared" si="61"/>
        <v>yes</v>
      </c>
      <c r="AG240" s="157">
        <f>COUNTA(Last:end!M240)</f>
        <v>2</v>
      </c>
      <c r="AH240" s="520">
        <f>COUNTA(Last:end!M240)/6</f>
        <v>0.33333333333333331</v>
      </c>
      <c r="AI240" s="157">
        <f>SUM(Last:end!O240)</f>
        <v>0</v>
      </c>
      <c r="AJ240" s="157">
        <f>MIN(Last:end!L240)</f>
        <v>2023</v>
      </c>
      <c r="AK240" s="157" t="e">
        <f>IF(AND(AJ240&lt;=2023,#REF!="high interest / inadequate offer "),"yes","no")</f>
        <v>#REF!</v>
      </c>
      <c r="AL240" s="157" t="str">
        <f t="shared" si="62"/>
        <v>no</v>
      </c>
      <c r="AM240" s="157"/>
      <c r="AN240" s="157"/>
      <c r="AO240" s="157"/>
      <c r="AP240" s="157">
        <v>1</v>
      </c>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row>
    <row r="241" spans="1:209" s="26" customFormat="1" ht="62.25" customHeight="1">
      <c r="A241" s="8" t="s">
        <v>18</v>
      </c>
      <c r="B241" s="29" t="s">
        <v>587</v>
      </c>
      <c r="C241" s="8" t="s">
        <v>715</v>
      </c>
      <c r="D241" s="8" t="s">
        <v>718</v>
      </c>
      <c r="E241" s="8" t="s">
        <v>719</v>
      </c>
      <c r="F241" s="8"/>
      <c r="G241" s="20" t="s">
        <v>62</v>
      </c>
      <c r="H241" s="20" t="s">
        <v>352</v>
      </c>
      <c r="I241" s="22">
        <v>1</v>
      </c>
      <c r="J241" s="20"/>
      <c r="K241" s="20"/>
      <c r="L241" s="20"/>
      <c r="M241" s="20"/>
      <c r="N241" s="20"/>
      <c r="O241" s="20"/>
      <c r="P241" s="20"/>
      <c r="Q241" s="157"/>
      <c r="R241" s="20"/>
      <c r="S241" s="20"/>
      <c r="T241" s="20"/>
      <c r="U241" s="20"/>
      <c r="V241" s="20"/>
      <c r="W241" s="20"/>
      <c r="X241" s="20"/>
      <c r="Y241" s="20"/>
      <c r="Z241" s="20"/>
      <c r="AA241" s="20"/>
      <c r="AB241" s="20"/>
      <c r="AC241" s="65"/>
      <c r="AD241" s="65"/>
      <c r="AE241" s="65"/>
      <c r="AF241" s="65"/>
      <c r="AG241" s="20">
        <f>COUNTA(Last:end!M241)</f>
        <v>0</v>
      </c>
      <c r="AH241" s="22">
        <f>COUNTA(Last:end!M241)/6</f>
        <v>0</v>
      </c>
      <c r="AI241" s="65"/>
      <c r="AJ241" s="20">
        <f>MIN(Last:end!L241)</f>
        <v>0</v>
      </c>
      <c r="AK241" s="20" t="e">
        <f>IF(AND(AJ241&lt;=2023,#REF!="high interest / inadequate offer "),"yes","no")</f>
        <v>#REF!</v>
      </c>
      <c r="AL241" s="20" t="str">
        <f t="shared" si="62"/>
        <v>no</v>
      </c>
      <c r="AM241" s="157"/>
      <c r="AN241" s="157"/>
      <c r="AO241" s="157"/>
      <c r="AP241" s="157">
        <v>0</v>
      </c>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row>
    <row r="242" spans="1:209" s="26" customFormat="1" ht="62.25" customHeight="1">
      <c r="A242" s="8" t="s">
        <v>18</v>
      </c>
      <c r="B242" s="29" t="s">
        <v>587</v>
      </c>
      <c r="C242" s="8" t="s">
        <v>715</v>
      </c>
      <c r="D242" s="8" t="s">
        <v>720</v>
      </c>
      <c r="E242" s="69" t="s">
        <v>594</v>
      </c>
      <c r="F242" s="8"/>
      <c r="G242" s="8" t="s">
        <v>62</v>
      </c>
      <c r="H242" s="8" t="s">
        <v>352</v>
      </c>
      <c r="I242" s="9">
        <v>1</v>
      </c>
      <c r="J242" s="8"/>
      <c r="K242" s="8"/>
      <c r="L242" s="8"/>
      <c r="M242" s="8"/>
      <c r="N242" s="8"/>
      <c r="O242" s="8"/>
      <c r="P242" s="8"/>
      <c r="Q242" s="157"/>
      <c r="R242" s="8"/>
      <c r="S242" s="8"/>
      <c r="T242" s="8"/>
      <c r="U242" s="8"/>
      <c r="V242" s="8"/>
      <c r="W242" s="8"/>
      <c r="X242" s="8"/>
      <c r="Y242" s="8"/>
      <c r="Z242" s="8"/>
      <c r="AA242" s="8"/>
      <c r="AB242" s="8"/>
      <c r="AC242" s="314" t="str">
        <f t="shared" ref="AC242:AC255" si="63">IF(AD242&gt;0,"yes", "no")</f>
        <v>yes</v>
      </c>
      <c r="AD242" s="314">
        <f>COUNTA(first:Last!R242)</f>
        <v>1</v>
      </c>
      <c r="AE242" s="157">
        <f>SUM(first:Last!Z242)</f>
        <v>0</v>
      </c>
      <c r="AF242" s="157" t="str">
        <f t="shared" ref="AF242:AF255" si="64">IF(AH242&gt;0,"yes", "no")</f>
        <v>yes</v>
      </c>
      <c r="AG242" s="157">
        <f>COUNTA(Last:end!M242)</f>
        <v>1</v>
      </c>
      <c r="AH242" s="520">
        <f>COUNTA(Last:end!M242)/6</f>
        <v>0.16666666666666666</v>
      </c>
      <c r="AI242" s="157">
        <f>SUM(Last:end!O242)</f>
        <v>0</v>
      </c>
      <c r="AJ242" s="157">
        <f>MIN(Last:end!L242)</f>
        <v>2023</v>
      </c>
      <c r="AK242" s="157" t="e">
        <f>IF(AND(AJ242&lt;=2023,#REF!="high interest / inadequate offer "),"yes","no")</f>
        <v>#REF!</v>
      </c>
      <c r="AL242" s="157" t="str">
        <f t="shared" si="62"/>
        <v>no</v>
      </c>
      <c r="AM242" s="157"/>
      <c r="AN242" s="157"/>
      <c r="AO242" s="157"/>
      <c r="AP242" s="157">
        <v>1</v>
      </c>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row>
    <row r="243" spans="1:209" s="26" customFormat="1" ht="62.25" customHeight="1">
      <c r="A243" s="8" t="s">
        <v>18</v>
      </c>
      <c r="B243" s="29" t="s">
        <v>587</v>
      </c>
      <c r="C243" s="8" t="s">
        <v>715</v>
      </c>
      <c r="D243" s="8" t="s">
        <v>721</v>
      </c>
      <c r="E243" s="69" t="s">
        <v>722</v>
      </c>
      <c r="F243" s="8"/>
      <c r="G243" s="8" t="s">
        <v>62</v>
      </c>
      <c r="H243" s="8" t="s">
        <v>352</v>
      </c>
      <c r="I243" s="9">
        <v>1</v>
      </c>
      <c r="J243" s="8"/>
      <c r="K243" s="8"/>
      <c r="L243" s="8"/>
      <c r="M243" s="8"/>
      <c r="N243" s="8"/>
      <c r="O243" s="8"/>
      <c r="P243" s="8"/>
      <c r="Q243" s="157"/>
      <c r="R243" s="8"/>
      <c r="S243" s="8"/>
      <c r="T243" s="8"/>
      <c r="U243" s="8"/>
      <c r="V243" s="8"/>
      <c r="W243" s="8"/>
      <c r="X243" s="8"/>
      <c r="Y243" s="8"/>
      <c r="Z243" s="8"/>
      <c r="AA243" s="8"/>
      <c r="AB243" s="8"/>
      <c r="AC243" s="314" t="str">
        <f t="shared" si="63"/>
        <v>yes</v>
      </c>
      <c r="AD243" s="314">
        <f>COUNTA(first:Last!R243)</f>
        <v>1</v>
      </c>
      <c r="AE243" s="157">
        <f>SUM(first:Last!Z243)</f>
        <v>0</v>
      </c>
      <c r="AF243" s="157" t="str">
        <f t="shared" si="64"/>
        <v>yes</v>
      </c>
      <c r="AG243" s="157">
        <f>COUNTA(Last:end!M243)</f>
        <v>1</v>
      </c>
      <c r="AH243" s="520">
        <f>COUNTA(Last:end!M243)/6</f>
        <v>0.16666666666666666</v>
      </c>
      <c r="AI243" s="157">
        <f>SUM(Last:end!O243)</f>
        <v>0</v>
      </c>
      <c r="AJ243" s="157">
        <f>MIN(Last:end!L243)</f>
        <v>2023</v>
      </c>
      <c r="AK243" s="157" t="e">
        <f>IF(AND(AJ243&lt;=2023,#REF!="high interest / inadequate offer "),"yes","no")</f>
        <v>#REF!</v>
      </c>
      <c r="AL243" s="157" t="str">
        <f t="shared" si="62"/>
        <v>no</v>
      </c>
      <c r="AM243" s="157"/>
      <c r="AN243" s="157"/>
      <c r="AO243" s="157"/>
      <c r="AP243" s="157">
        <v>1</v>
      </c>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row>
    <row r="244" spans="1:209" s="26" customFormat="1" ht="62.25" customHeight="1">
      <c r="A244" s="8" t="s">
        <v>18</v>
      </c>
      <c r="B244" s="29" t="s">
        <v>587</v>
      </c>
      <c r="C244" s="8" t="s">
        <v>715</v>
      </c>
      <c r="D244" s="8" t="s">
        <v>723</v>
      </c>
      <c r="E244" s="69" t="s">
        <v>596</v>
      </c>
      <c r="F244" s="8"/>
      <c r="G244" s="8" t="s">
        <v>62</v>
      </c>
      <c r="H244" s="8" t="s">
        <v>352</v>
      </c>
      <c r="I244" s="9">
        <v>1</v>
      </c>
      <c r="J244" s="8"/>
      <c r="K244" s="8"/>
      <c r="L244" s="8"/>
      <c r="M244" s="8"/>
      <c r="N244" s="8"/>
      <c r="O244" s="8"/>
      <c r="P244" s="8"/>
      <c r="Q244" s="157"/>
      <c r="R244" s="8"/>
      <c r="S244" s="8"/>
      <c r="T244" s="8"/>
      <c r="U244" s="8"/>
      <c r="V244" s="8"/>
      <c r="W244" s="8"/>
      <c r="X244" s="8"/>
      <c r="Y244" s="8"/>
      <c r="Z244" s="8"/>
      <c r="AA244" s="8"/>
      <c r="AB244" s="8"/>
      <c r="AC244" s="314" t="str">
        <f t="shared" si="63"/>
        <v>yes</v>
      </c>
      <c r="AD244" s="314">
        <f>COUNTA(first:Last!R244)</f>
        <v>1</v>
      </c>
      <c r="AE244" s="157">
        <f>SUM(first:Last!Z244)</f>
        <v>0</v>
      </c>
      <c r="AF244" s="157" t="str">
        <f t="shared" si="64"/>
        <v>yes</v>
      </c>
      <c r="AG244" s="157">
        <f>COUNTA(Last:end!M244)</f>
        <v>1</v>
      </c>
      <c r="AH244" s="520">
        <f>COUNTA(Last:end!M244)/6</f>
        <v>0.16666666666666666</v>
      </c>
      <c r="AI244" s="157">
        <f>SUM(Last:end!O244)</f>
        <v>0</v>
      </c>
      <c r="AJ244" s="157">
        <f>MIN(Last:end!L244)</f>
        <v>2023</v>
      </c>
      <c r="AK244" s="157" t="e">
        <f>IF(AND(AJ244&lt;=2023,#REF!="high interest / inadequate offer "),"yes","no")</f>
        <v>#REF!</v>
      </c>
      <c r="AL244" s="157" t="str">
        <f t="shared" si="62"/>
        <v>no</v>
      </c>
      <c r="AM244" s="157"/>
      <c r="AN244" s="157"/>
      <c r="AO244" s="157"/>
      <c r="AP244" s="157">
        <v>1</v>
      </c>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row>
    <row r="245" spans="1:209" s="26" customFormat="1" ht="62.25" customHeight="1">
      <c r="A245" s="8" t="s">
        <v>18</v>
      </c>
      <c r="B245" s="29" t="s">
        <v>587</v>
      </c>
      <c r="C245" s="8" t="s">
        <v>715</v>
      </c>
      <c r="D245" s="8" t="s">
        <v>724</v>
      </c>
      <c r="E245" s="69" t="s">
        <v>597</v>
      </c>
      <c r="F245" s="8"/>
      <c r="G245" s="8" t="s">
        <v>62</v>
      </c>
      <c r="H245" s="8" t="s">
        <v>352</v>
      </c>
      <c r="I245" s="9">
        <v>1</v>
      </c>
      <c r="J245" s="8"/>
      <c r="K245" s="8"/>
      <c r="L245" s="8"/>
      <c r="M245" s="8"/>
      <c r="N245" s="8"/>
      <c r="O245" s="8"/>
      <c r="P245" s="8"/>
      <c r="Q245" s="157"/>
      <c r="R245" s="8"/>
      <c r="S245" s="8"/>
      <c r="T245" s="8"/>
      <c r="U245" s="8"/>
      <c r="V245" s="8"/>
      <c r="W245" s="8"/>
      <c r="X245" s="8"/>
      <c r="Y245" s="8"/>
      <c r="Z245" s="8"/>
      <c r="AA245" s="8"/>
      <c r="AB245" s="8"/>
      <c r="AC245" s="314" t="str">
        <f t="shared" si="63"/>
        <v>yes</v>
      </c>
      <c r="AD245" s="314">
        <f>COUNTA(first:Last!R245)</f>
        <v>1</v>
      </c>
      <c r="AE245" s="157">
        <f>SUM(first:Last!Z245)</f>
        <v>0</v>
      </c>
      <c r="AF245" s="157" t="str">
        <f t="shared" si="64"/>
        <v>yes</v>
      </c>
      <c r="AG245" s="157">
        <f>COUNTA(Last:end!M245)</f>
        <v>1</v>
      </c>
      <c r="AH245" s="520">
        <f>COUNTA(Last:end!M245)/6</f>
        <v>0.16666666666666666</v>
      </c>
      <c r="AI245" s="157">
        <f>SUM(Last:end!O245)</f>
        <v>0</v>
      </c>
      <c r="AJ245" s="157">
        <f>MIN(Last:end!L245)</f>
        <v>2023</v>
      </c>
      <c r="AK245" s="157" t="e">
        <f>IF(AND(AJ245&lt;=2023,#REF!="high interest / inadequate offer "),"yes","no")</f>
        <v>#REF!</v>
      </c>
      <c r="AL245" s="157" t="str">
        <f t="shared" si="62"/>
        <v>no</v>
      </c>
      <c r="AM245" s="157"/>
      <c r="AN245" s="157"/>
      <c r="AO245" s="157"/>
      <c r="AP245" s="157">
        <v>1</v>
      </c>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row>
    <row r="246" spans="1:209" s="26" customFormat="1" ht="62.25" customHeight="1">
      <c r="A246" s="8" t="s">
        <v>18</v>
      </c>
      <c r="B246" s="29" t="s">
        <v>587</v>
      </c>
      <c r="C246" s="8" t="s">
        <v>715</v>
      </c>
      <c r="D246" s="8" t="s">
        <v>725</v>
      </c>
      <c r="E246" s="69" t="s">
        <v>599</v>
      </c>
      <c r="F246" s="8"/>
      <c r="G246" s="8" t="s">
        <v>62</v>
      </c>
      <c r="H246" s="8" t="s">
        <v>352</v>
      </c>
      <c r="I246" s="9">
        <v>1</v>
      </c>
      <c r="J246" s="8"/>
      <c r="K246" s="8"/>
      <c r="L246" s="8"/>
      <c r="M246" s="8"/>
      <c r="N246" s="8"/>
      <c r="O246" s="8"/>
      <c r="P246" s="8"/>
      <c r="Q246" s="157"/>
      <c r="R246" s="8"/>
      <c r="S246" s="8"/>
      <c r="T246" s="8"/>
      <c r="U246" s="8"/>
      <c r="V246" s="8"/>
      <c r="W246" s="8"/>
      <c r="X246" s="8"/>
      <c r="Y246" s="8"/>
      <c r="Z246" s="8"/>
      <c r="AA246" s="8"/>
      <c r="AB246" s="8"/>
      <c r="AC246" s="314" t="str">
        <f t="shared" si="63"/>
        <v>yes</v>
      </c>
      <c r="AD246" s="314">
        <f>COUNTA(first:Last!R246)</f>
        <v>1</v>
      </c>
      <c r="AE246" s="157">
        <f>SUM(first:Last!Z246)</f>
        <v>0</v>
      </c>
      <c r="AF246" s="157" t="str">
        <f t="shared" si="64"/>
        <v>yes</v>
      </c>
      <c r="AG246" s="157">
        <f>COUNTA(Last:end!M246)</f>
        <v>1</v>
      </c>
      <c r="AH246" s="520">
        <f>COUNTA(Last:end!M246)/6</f>
        <v>0.16666666666666666</v>
      </c>
      <c r="AI246" s="157">
        <f>SUM(Last:end!O246)</f>
        <v>0</v>
      </c>
      <c r="AJ246" s="157">
        <f>MIN(Last:end!L246)</f>
        <v>2023</v>
      </c>
      <c r="AK246" s="157" t="e">
        <f>IF(AND(AJ246&lt;=2023,#REF!="high interest / inadequate offer "),"yes","no")</f>
        <v>#REF!</v>
      </c>
      <c r="AL246" s="157" t="str">
        <f t="shared" si="62"/>
        <v>no</v>
      </c>
      <c r="AM246" s="157"/>
      <c r="AN246" s="157"/>
      <c r="AO246" s="157"/>
      <c r="AP246" s="157">
        <v>1</v>
      </c>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row>
    <row r="247" spans="1:209" s="26" customFormat="1" ht="62.25" customHeight="1">
      <c r="A247" s="8" t="s">
        <v>18</v>
      </c>
      <c r="B247" s="29" t="s">
        <v>587</v>
      </c>
      <c r="C247" s="8" t="s">
        <v>715</v>
      </c>
      <c r="D247" s="8" t="s">
        <v>726</v>
      </c>
      <c r="E247" s="69" t="s">
        <v>727</v>
      </c>
      <c r="F247" s="8"/>
      <c r="G247" s="8" t="s">
        <v>62</v>
      </c>
      <c r="H247" s="8" t="s">
        <v>352</v>
      </c>
      <c r="I247" s="9">
        <v>1</v>
      </c>
      <c r="J247" s="8"/>
      <c r="K247" s="8"/>
      <c r="L247" s="8"/>
      <c r="M247" s="8"/>
      <c r="N247" s="8"/>
      <c r="O247" s="8"/>
      <c r="P247" s="8"/>
      <c r="Q247" s="157"/>
      <c r="R247" s="8"/>
      <c r="S247" s="8"/>
      <c r="T247" s="8"/>
      <c r="U247" s="8"/>
      <c r="V247" s="8"/>
      <c r="W247" s="8"/>
      <c r="X247" s="8"/>
      <c r="Y247" s="8"/>
      <c r="Z247" s="8"/>
      <c r="AA247" s="8"/>
      <c r="AB247" s="8"/>
      <c r="AC247" s="314" t="str">
        <f t="shared" si="63"/>
        <v>yes</v>
      </c>
      <c r="AD247" s="314">
        <f>COUNTA(first:Last!R247)</f>
        <v>1</v>
      </c>
      <c r="AE247" s="157">
        <f>SUM(first:Last!Z247)</f>
        <v>0</v>
      </c>
      <c r="AF247" s="157" t="str">
        <f t="shared" si="64"/>
        <v>yes</v>
      </c>
      <c r="AG247" s="157">
        <f>COUNTA(Last:end!M247)</f>
        <v>1</v>
      </c>
      <c r="AH247" s="520">
        <f>COUNTA(Last:end!M247)/6</f>
        <v>0.16666666666666666</v>
      </c>
      <c r="AI247" s="157">
        <f>SUM(Last:end!O247)</f>
        <v>0</v>
      </c>
      <c r="AJ247" s="157">
        <f>MIN(Last:end!L247)</f>
        <v>2023</v>
      </c>
      <c r="AK247" s="157" t="e">
        <f>IF(AND(AJ247&lt;=2023,#REF!="high interest / inadequate offer "),"yes","no")</f>
        <v>#REF!</v>
      </c>
      <c r="AL247" s="157" t="str">
        <f t="shared" si="62"/>
        <v>no</v>
      </c>
      <c r="AM247" s="157"/>
      <c r="AN247" s="157"/>
      <c r="AO247" s="157"/>
      <c r="AP247" s="157">
        <v>1</v>
      </c>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row>
    <row r="248" spans="1:209" s="26" customFormat="1" ht="62.25" customHeight="1">
      <c r="A248" s="8" t="s">
        <v>18</v>
      </c>
      <c r="B248" s="29" t="s">
        <v>587</v>
      </c>
      <c r="C248" s="8" t="s">
        <v>715</v>
      </c>
      <c r="D248" s="8" t="s">
        <v>728</v>
      </c>
      <c r="E248" s="69" t="s">
        <v>729</v>
      </c>
      <c r="F248" s="8"/>
      <c r="G248" s="8" t="s">
        <v>62</v>
      </c>
      <c r="H248" s="8" t="s">
        <v>352</v>
      </c>
      <c r="I248" s="9">
        <v>1</v>
      </c>
      <c r="J248" s="8"/>
      <c r="K248" s="8"/>
      <c r="L248" s="8"/>
      <c r="M248" s="8"/>
      <c r="N248" s="8"/>
      <c r="O248" s="8"/>
      <c r="P248" s="8"/>
      <c r="Q248" s="157"/>
      <c r="R248" s="8"/>
      <c r="S248" s="8"/>
      <c r="T248" s="8"/>
      <c r="U248" s="8"/>
      <c r="V248" s="8"/>
      <c r="W248" s="8"/>
      <c r="X248" s="8"/>
      <c r="Y248" s="8"/>
      <c r="Z248" s="8"/>
      <c r="AA248" s="8"/>
      <c r="AB248" s="8"/>
      <c r="AC248" s="314" t="str">
        <f t="shared" si="63"/>
        <v>yes</v>
      </c>
      <c r="AD248" s="314">
        <f>COUNTA(first:Last!R248)</f>
        <v>1</v>
      </c>
      <c r="AE248" s="157">
        <f>SUM(first:Last!Z248)</f>
        <v>0</v>
      </c>
      <c r="AF248" s="157" t="str">
        <f t="shared" si="64"/>
        <v>yes</v>
      </c>
      <c r="AG248" s="157">
        <f>COUNTA(Last:end!M248)</f>
        <v>1</v>
      </c>
      <c r="AH248" s="520">
        <f>COUNTA(Last:end!M248)/6</f>
        <v>0.16666666666666666</v>
      </c>
      <c r="AI248" s="157">
        <f>SUM(Last:end!O248)</f>
        <v>0</v>
      </c>
      <c r="AJ248" s="157">
        <f>MIN(Last:end!L248)</f>
        <v>2023</v>
      </c>
      <c r="AK248" s="157" t="e">
        <f>IF(AND(AJ248&lt;=2023,#REF!="high interest / inadequate offer "),"yes","no")</f>
        <v>#REF!</v>
      </c>
      <c r="AL248" s="157" t="str">
        <f t="shared" si="62"/>
        <v>no</v>
      </c>
      <c r="AM248" s="157"/>
      <c r="AN248" s="157"/>
      <c r="AO248" s="157"/>
      <c r="AP248" s="157">
        <v>1</v>
      </c>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row>
    <row r="249" spans="1:209" s="26" customFormat="1" ht="62.25" customHeight="1">
      <c r="A249" s="8" t="s">
        <v>18</v>
      </c>
      <c r="B249" s="29" t="s">
        <v>587</v>
      </c>
      <c r="C249" s="8" t="s">
        <v>715</v>
      </c>
      <c r="D249" s="8" t="s">
        <v>730</v>
      </c>
      <c r="E249" s="69" t="s">
        <v>731</v>
      </c>
      <c r="F249" s="8"/>
      <c r="G249" s="8" t="s">
        <v>62</v>
      </c>
      <c r="H249" s="8" t="s">
        <v>352</v>
      </c>
      <c r="I249" s="9">
        <v>1</v>
      </c>
      <c r="J249" s="8"/>
      <c r="K249" s="8"/>
      <c r="L249" s="8"/>
      <c r="M249" s="8"/>
      <c r="N249" s="8"/>
      <c r="O249" s="8"/>
      <c r="P249" s="8"/>
      <c r="Q249" s="157"/>
      <c r="R249" s="8"/>
      <c r="S249" s="8"/>
      <c r="T249" s="8"/>
      <c r="U249" s="8"/>
      <c r="V249" s="8"/>
      <c r="W249" s="8"/>
      <c r="X249" s="8"/>
      <c r="Y249" s="8"/>
      <c r="Z249" s="8"/>
      <c r="AA249" s="8"/>
      <c r="AB249" s="8"/>
      <c r="AC249" s="314" t="str">
        <f t="shared" si="63"/>
        <v>yes</v>
      </c>
      <c r="AD249" s="314">
        <f>COUNTA(first:Last!R249)</f>
        <v>1</v>
      </c>
      <c r="AE249" s="157">
        <f>SUM(first:Last!Z249)</f>
        <v>0</v>
      </c>
      <c r="AF249" s="157" t="str">
        <f t="shared" si="64"/>
        <v>yes</v>
      </c>
      <c r="AG249" s="157">
        <f>COUNTA(Last:end!M249)</f>
        <v>1</v>
      </c>
      <c r="AH249" s="520">
        <f>COUNTA(Last:end!M249)/6</f>
        <v>0.16666666666666666</v>
      </c>
      <c r="AI249" s="157">
        <f>SUM(Last:end!O249)</f>
        <v>0</v>
      </c>
      <c r="AJ249" s="157">
        <f>MIN(Last:end!L249)</f>
        <v>2023</v>
      </c>
      <c r="AK249" s="157" t="e">
        <f>IF(AND(AJ249&lt;=2023,#REF!="high interest / inadequate offer "),"yes","no")</f>
        <v>#REF!</v>
      </c>
      <c r="AL249" s="157" t="str">
        <f t="shared" si="62"/>
        <v>no</v>
      </c>
      <c r="AM249" s="157"/>
      <c r="AN249" s="157"/>
      <c r="AO249" s="157"/>
      <c r="AP249" s="157">
        <v>1</v>
      </c>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row>
    <row r="250" spans="1:209" s="26" customFormat="1" ht="63">
      <c r="A250" s="8" t="s">
        <v>18</v>
      </c>
      <c r="B250" s="29" t="s">
        <v>587</v>
      </c>
      <c r="C250" s="8" t="s">
        <v>732</v>
      </c>
      <c r="D250" s="8" t="s">
        <v>733</v>
      </c>
      <c r="E250" s="8" t="s">
        <v>734</v>
      </c>
      <c r="F250" s="8"/>
      <c r="G250" s="8" t="s">
        <v>71</v>
      </c>
      <c r="H250" s="8" t="s">
        <v>735</v>
      </c>
      <c r="I250" s="9">
        <v>1</v>
      </c>
      <c r="J250" s="8"/>
      <c r="K250" s="8"/>
      <c r="L250" s="8"/>
      <c r="M250" s="8"/>
      <c r="N250" s="8"/>
      <c r="O250" s="8"/>
      <c r="P250" s="8"/>
      <c r="Q250" s="157"/>
      <c r="R250" s="8"/>
      <c r="S250" s="8"/>
      <c r="T250" s="8"/>
      <c r="U250" s="8"/>
      <c r="V250" s="8"/>
      <c r="W250" s="8"/>
      <c r="X250" s="8"/>
      <c r="Y250" s="8"/>
      <c r="Z250" s="8"/>
      <c r="AA250" s="8"/>
      <c r="AB250" s="8"/>
      <c r="AC250" s="314" t="str">
        <f t="shared" si="63"/>
        <v>yes</v>
      </c>
      <c r="AD250" s="314">
        <f>COUNTA(first:Last!R250)</f>
        <v>3</v>
      </c>
      <c r="AE250" s="157">
        <f>SUM(first:Last!Z250)</f>
        <v>0</v>
      </c>
      <c r="AF250" s="157" t="str">
        <f t="shared" si="64"/>
        <v>no</v>
      </c>
      <c r="AG250" s="157">
        <f>COUNTA(Last:end!M250)</f>
        <v>0</v>
      </c>
      <c r="AH250" s="520">
        <f>COUNTA(Last:end!M250)/6</f>
        <v>0</v>
      </c>
      <c r="AI250" s="157">
        <f>SUM(Last:end!O250)</f>
        <v>0</v>
      </c>
      <c r="AJ250" s="157">
        <f>MIN(Last:end!L250)</f>
        <v>0</v>
      </c>
      <c r="AK250" s="157" t="e">
        <f>IF(AND(AJ250&lt;=2023,#REF!="high interest / inadequate offer "),"yes","no")</f>
        <v>#REF!</v>
      </c>
      <c r="AL250" s="157" t="str">
        <f t="shared" si="62"/>
        <v>yes</v>
      </c>
      <c r="AM250" s="157"/>
      <c r="AN250" s="157"/>
      <c r="AO250" s="157"/>
      <c r="AP250" s="157">
        <v>1</v>
      </c>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row>
    <row r="251" spans="1:209" s="26" customFormat="1" ht="62.25" customHeight="1">
      <c r="A251" s="8" t="s">
        <v>18</v>
      </c>
      <c r="B251" s="29" t="s">
        <v>587</v>
      </c>
      <c r="C251" s="8" t="s">
        <v>732</v>
      </c>
      <c r="D251" s="8" t="s">
        <v>736</v>
      </c>
      <c r="E251" s="8" t="s">
        <v>734</v>
      </c>
      <c r="F251" s="8"/>
      <c r="G251" s="8" t="s">
        <v>58</v>
      </c>
      <c r="H251" s="8" t="s">
        <v>428</v>
      </c>
      <c r="I251" s="9">
        <v>1</v>
      </c>
      <c r="J251" s="8"/>
      <c r="K251" s="8"/>
      <c r="L251" s="8"/>
      <c r="M251" s="8"/>
      <c r="N251" s="8"/>
      <c r="O251" s="8"/>
      <c r="P251" s="8"/>
      <c r="Q251" s="157"/>
      <c r="R251" s="8"/>
      <c r="S251" s="8"/>
      <c r="T251" s="8"/>
      <c r="U251" s="8"/>
      <c r="V251" s="8"/>
      <c r="W251" s="8"/>
      <c r="X251" s="8"/>
      <c r="Y251" s="8"/>
      <c r="Z251" s="8"/>
      <c r="AA251" s="8"/>
      <c r="AB251" s="8"/>
      <c r="AC251" s="314" t="str">
        <f t="shared" si="63"/>
        <v>yes</v>
      </c>
      <c r="AD251" s="314">
        <f>COUNTA(first:Last!R251)</f>
        <v>1</v>
      </c>
      <c r="AE251" s="157">
        <f>SUM(first:Last!Z251)</f>
        <v>0</v>
      </c>
      <c r="AF251" s="157" t="str">
        <f t="shared" si="64"/>
        <v>yes</v>
      </c>
      <c r="AG251" s="157">
        <f>COUNTA(Last:end!M251)</f>
        <v>1</v>
      </c>
      <c r="AH251" s="520">
        <f>COUNTA(Last:end!M251)/6</f>
        <v>0.16666666666666666</v>
      </c>
      <c r="AI251" s="157">
        <f>SUM(Last:end!O251)</f>
        <v>0</v>
      </c>
      <c r="AJ251" s="157">
        <f>MIN(Last:end!L251)</f>
        <v>2023</v>
      </c>
      <c r="AK251" s="157" t="e">
        <f>IF(AND(AJ251&lt;=2023,#REF!="high interest / inadequate offer "),"yes","no")</f>
        <v>#REF!</v>
      </c>
      <c r="AL251" s="157" t="str">
        <f t="shared" si="62"/>
        <v>no</v>
      </c>
      <c r="AM251" s="157"/>
      <c r="AN251" s="157"/>
      <c r="AO251" s="157"/>
      <c r="AP251" s="157">
        <v>1</v>
      </c>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row>
    <row r="252" spans="1:209" s="26" customFormat="1" ht="62.25" customHeight="1">
      <c r="A252" s="8" t="s">
        <v>18</v>
      </c>
      <c r="B252" s="29" t="s">
        <v>587</v>
      </c>
      <c r="C252" s="8" t="s">
        <v>737</v>
      </c>
      <c r="D252" s="8" t="s">
        <v>738</v>
      </c>
      <c r="E252" s="8" t="s">
        <v>739</v>
      </c>
      <c r="F252" s="8"/>
      <c r="G252" s="8" t="s">
        <v>62</v>
      </c>
      <c r="H252" s="8" t="s">
        <v>623</v>
      </c>
      <c r="I252" s="9">
        <v>1</v>
      </c>
      <c r="J252" s="8"/>
      <c r="K252" s="8"/>
      <c r="L252" s="8"/>
      <c r="M252" s="8"/>
      <c r="N252" s="8"/>
      <c r="O252" s="8"/>
      <c r="P252" s="8"/>
      <c r="Q252" s="157"/>
      <c r="R252" s="8"/>
      <c r="S252" s="8"/>
      <c r="T252" s="8"/>
      <c r="U252" s="8"/>
      <c r="V252" s="8"/>
      <c r="W252" s="8"/>
      <c r="X252" s="8"/>
      <c r="Y252" s="8"/>
      <c r="Z252" s="8"/>
      <c r="AA252" s="8"/>
      <c r="AB252" s="8"/>
      <c r="AC252" s="314" t="str">
        <f t="shared" si="63"/>
        <v>yes</v>
      </c>
      <c r="AD252" s="314">
        <f>COUNTA(first:Last!R252)</f>
        <v>1</v>
      </c>
      <c r="AE252" s="157">
        <f>SUM(first:Last!Z252)</f>
        <v>0</v>
      </c>
      <c r="AF252" s="157" t="str">
        <f t="shared" si="64"/>
        <v>yes</v>
      </c>
      <c r="AG252" s="157">
        <f>COUNTA(Last:end!M252)</f>
        <v>1</v>
      </c>
      <c r="AH252" s="520">
        <f>COUNTA(Last:end!M252)/6</f>
        <v>0.16666666666666666</v>
      </c>
      <c r="AI252" s="157">
        <f>SUM(Last:end!O252)</f>
        <v>0</v>
      </c>
      <c r="AJ252" s="157">
        <f>MIN(Last:end!L252)</f>
        <v>2023</v>
      </c>
      <c r="AK252" s="157" t="e">
        <f>IF(AND(AJ252&lt;=2023,#REF!="high interest / inadequate offer "),"yes","no")</f>
        <v>#REF!</v>
      </c>
      <c r="AL252" s="157" t="str">
        <f t="shared" si="62"/>
        <v>no</v>
      </c>
      <c r="AM252" s="157"/>
      <c r="AN252" s="157"/>
      <c r="AO252" s="157"/>
      <c r="AP252" s="157">
        <v>1</v>
      </c>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row>
    <row r="253" spans="1:209" s="26" customFormat="1" ht="62.25" customHeight="1">
      <c r="A253" s="8" t="s">
        <v>18</v>
      </c>
      <c r="B253" s="29" t="s">
        <v>587</v>
      </c>
      <c r="C253" s="8" t="s">
        <v>737</v>
      </c>
      <c r="D253" s="8" t="s">
        <v>740</v>
      </c>
      <c r="E253" s="8" t="s">
        <v>741</v>
      </c>
      <c r="F253" s="8"/>
      <c r="G253" s="8" t="s">
        <v>62</v>
      </c>
      <c r="H253" s="8" t="s">
        <v>742</v>
      </c>
      <c r="I253" s="9">
        <v>1</v>
      </c>
      <c r="J253" s="8"/>
      <c r="K253" s="8"/>
      <c r="L253" s="8"/>
      <c r="M253" s="8"/>
      <c r="N253" s="8"/>
      <c r="O253" s="8"/>
      <c r="P253" s="8"/>
      <c r="Q253" s="157"/>
      <c r="R253" s="8"/>
      <c r="S253" s="8"/>
      <c r="T253" s="8"/>
      <c r="U253" s="8"/>
      <c r="V253" s="8"/>
      <c r="W253" s="8"/>
      <c r="X253" s="8"/>
      <c r="Y253" s="8"/>
      <c r="Z253" s="8"/>
      <c r="AA253" s="8"/>
      <c r="AB253" s="8"/>
      <c r="AC253" s="314" t="str">
        <f t="shared" si="63"/>
        <v>no</v>
      </c>
      <c r="AD253" s="314">
        <f>COUNTA(first:Last!R253)</f>
        <v>0</v>
      </c>
      <c r="AE253" s="157">
        <f>SUM(first:Last!Z253)</f>
        <v>0</v>
      </c>
      <c r="AF253" s="157" t="str">
        <f t="shared" si="64"/>
        <v>yes</v>
      </c>
      <c r="AG253" s="157">
        <f>COUNTA(Last:end!M253)</f>
        <v>1</v>
      </c>
      <c r="AH253" s="520">
        <f>COUNTA(Last:end!M253)/6</f>
        <v>0.16666666666666666</v>
      </c>
      <c r="AI253" s="157">
        <f>SUM(Last:end!O253)</f>
        <v>0</v>
      </c>
      <c r="AJ253" s="157">
        <f>MIN(Last:end!L253)</f>
        <v>2023</v>
      </c>
      <c r="AK253" s="157" t="e">
        <f>IF(AND(AJ253&lt;=2023,#REF!="high interest / inadequate offer "),"yes","no")</f>
        <v>#REF!</v>
      </c>
      <c r="AL253" s="157" t="str">
        <f t="shared" si="62"/>
        <v>no</v>
      </c>
      <c r="AM253" s="157"/>
      <c r="AN253" s="157"/>
      <c r="AO253" s="157"/>
      <c r="AP253" s="157">
        <v>1</v>
      </c>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row>
    <row r="254" spans="1:209" s="26" customFormat="1" ht="62.25" customHeight="1">
      <c r="A254" s="8" t="s">
        <v>18</v>
      </c>
      <c r="B254" s="29" t="s">
        <v>587</v>
      </c>
      <c r="C254" s="8" t="s">
        <v>737</v>
      </c>
      <c r="D254" s="8" t="s">
        <v>743</v>
      </c>
      <c r="E254" s="8" t="s">
        <v>744</v>
      </c>
      <c r="F254" s="8"/>
      <c r="G254" s="8" t="s">
        <v>62</v>
      </c>
      <c r="H254" s="8" t="s">
        <v>745</v>
      </c>
      <c r="I254" s="9">
        <v>0.5</v>
      </c>
      <c r="J254" s="8"/>
      <c r="K254" s="8"/>
      <c r="L254" s="8"/>
      <c r="M254" s="8"/>
      <c r="N254" s="8"/>
      <c r="O254" s="8"/>
      <c r="P254" s="8"/>
      <c r="Q254" s="157"/>
      <c r="R254" s="8"/>
      <c r="S254" s="8"/>
      <c r="T254" s="8"/>
      <c r="U254" s="8"/>
      <c r="V254" s="8"/>
      <c r="W254" s="8"/>
      <c r="X254" s="8"/>
      <c r="Y254" s="8"/>
      <c r="Z254" s="8"/>
      <c r="AA254" s="8"/>
      <c r="AB254" s="8"/>
      <c r="AC254" s="314" t="str">
        <f t="shared" si="63"/>
        <v>no</v>
      </c>
      <c r="AD254" s="314">
        <f>COUNTA(first:Last!R254)</f>
        <v>0</v>
      </c>
      <c r="AE254" s="157">
        <f>SUM(first:Last!Z254)</f>
        <v>0</v>
      </c>
      <c r="AF254" s="157" t="str">
        <f t="shared" si="64"/>
        <v>yes</v>
      </c>
      <c r="AG254" s="157">
        <f>COUNTA(Last:end!M254)</f>
        <v>1</v>
      </c>
      <c r="AH254" s="520">
        <f>COUNTA(Last:end!M254)/6</f>
        <v>0.16666666666666666</v>
      </c>
      <c r="AI254" s="157">
        <f>SUM(Last:end!O254)</f>
        <v>0</v>
      </c>
      <c r="AJ254" s="157">
        <f>MIN(Last:end!L254)</f>
        <v>2023</v>
      </c>
      <c r="AK254" s="157" t="e">
        <f>IF(AND(AJ254&lt;=2023,#REF!="high interest / inadequate offer "),"yes","no")</f>
        <v>#REF!</v>
      </c>
      <c r="AL254" s="157" t="str">
        <f t="shared" si="62"/>
        <v>no</v>
      </c>
      <c r="AM254" s="157"/>
      <c r="AN254" s="157"/>
      <c r="AO254" s="157"/>
      <c r="AP254" s="157">
        <v>1</v>
      </c>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row>
    <row r="255" spans="1:209" s="26" customFormat="1" ht="62.25" customHeight="1">
      <c r="A255" s="8" t="s">
        <v>18</v>
      </c>
      <c r="B255" s="29" t="s">
        <v>587</v>
      </c>
      <c r="C255" s="8" t="s">
        <v>746</v>
      </c>
      <c r="D255" s="8" t="s">
        <v>747</v>
      </c>
      <c r="E255" s="8" t="s">
        <v>748</v>
      </c>
      <c r="F255" s="8"/>
      <c r="G255" s="8" t="s">
        <v>62</v>
      </c>
      <c r="H255" s="8" t="s">
        <v>749</v>
      </c>
      <c r="I255" s="9">
        <v>0.5</v>
      </c>
      <c r="J255" s="8"/>
      <c r="K255" s="8"/>
      <c r="L255" s="8"/>
      <c r="M255" s="8"/>
      <c r="N255" s="8"/>
      <c r="O255" s="8"/>
      <c r="P255" s="8"/>
      <c r="Q255" s="157"/>
      <c r="R255" s="8"/>
      <c r="S255" s="8"/>
      <c r="T255" s="8"/>
      <c r="U255" s="8"/>
      <c r="V255" s="8"/>
      <c r="W255" s="8"/>
      <c r="X255" s="8"/>
      <c r="Y255" s="8"/>
      <c r="Z255" s="8"/>
      <c r="AA255" s="8"/>
      <c r="AB255" s="8"/>
      <c r="AC255" s="314" t="str">
        <f t="shared" si="63"/>
        <v>yes</v>
      </c>
      <c r="AD255" s="314">
        <f>COUNTA(first:Last!R255)</f>
        <v>1</v>
      </c>
      <c r="AE255" s="157">
        <f>SUM(first:Last!Z255)</f>
        <v>0</v>
      </c>
      <c r="AF255" s="157" t="str">
        <f t="shared" si="64"/>
        <v>yes</v>
      </c>
      <c r="AG255" s="157">
        <f>COUNTA(Last:end!M255)</f>
        <v>2</v>
      </c>
      <c r="AH255" s="520">
        <f>COUNTA(Last:end!M255)/6</f>
        <v>0.33333333333333331</v>
      </c>
      <c r="AI255" s="157">
        <f>SUM(Last:end!O255)</f>
        <v>0</v>
      </c>
      <c r="AJ255" s="157">
        <f>MIN(Last:end!L255)</f>
        <v>2023</v>
      </c>
      <c r="AK255" s="157" t="e">
        <f>IF(AND(AJ255&lt;=2023,#REF!="high interest / inadequate offer "),"yes","no")</f>
        <v>#REF!</v>
      </c>
      <c r="AL255" s="157" t="str">
        <f t="shared" si="62"/>
        <v>no</v>
      </c>
      <c r="AM255" s="157"/>
      <c r="AN255" s="157"/>
      <c r="AO255" s="157"/>
      <c r="AP255" s="157">
        <v>1</v>
      </c>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row>
    <row r="256" spans="1:209" s="26" customFormat="1" ht="26.25" customHeight="1">
      <c r="A256" s="554" t="s">
        <v>750</v>
      </c>
      <c r="B256" s="105"/>
      <c r="C256" s="106"/>
      <c r="D256" s="106"/>
      <c r="E256" s="106"/>
      <c r="F256" s="106"/>
      <c r="G256" s="106"/>
      <c r="H256" s="106"/>
      <c r="I256" s="107"/>
      <c r="J256" s="106"/>
      <c r="K256" s="106"/>
      <c r="L256" s="106"/>
      <c r="M256" s="106"/>
      <c r="N256" s="106"/>
      <c r="O256" s="106"/>
      <c r="P256" s="106"/>
      <c r="Q256" s="106"/>
      <c r="R256" s="106"/>
      <c r="S256" s="106"/>
      <c r="T256" s="106"/>
      <c r="U256" s="106"/>
      <c r="V256" s="106"/>
      <c r="W256" s="106"/>
      <c r="X256" s="106"/>
      <c r="Y256" s="106"/>
      <c r="Z256" s="106"/>
      <c r="AA256" s="106"/>
      <c r="AB256" s="106"/>
      <c r="AC256" s="157"/>
      <c r="AD256" s="157"/>
      <c r="AE256" s="157"/>
      <c r="AF256" s="157"/>
      <c r="AG256" s="20"/>
      <c r="AH256" s="20"/>
      <c r="AI256" s="20"/>
      <c r="AJ256" s="20"/>
      <c r="AK256" s="20"/>
      <c r="AL256" s="20"/>
      <c r="AM256" s="157"/>
      <c r="AN256" s="157"/>
      <c r="AO256" s="157"/>
      <c r="AP256" s="157">
        <v>0</v>
      </c>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row>
    <row r="257" spans="1:209" s="26" customFormat="1" ht="62.25" customHeight="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Q257" s="157"/>
      <c r="R257" s="20"/>
      <c r="S257" s="20"/>
      <c r="T257" s="20"/>
      <c r="U257" s="20"/>
      <c r="V257" s="20"/>
      <c r="W257" s="20"/>
      <c r="X257" s="20"/>
      <c r="Y257" s="20"/>
      <c r="Z257" s="20"/>
      <c r="AA257" s="20"/>
      <c r="AB257" s="157"/>
      <c r="AC257" s="65"/>
      <c r="AD257" s="65"/>
      <c r="AE257" s="65"/>
      <c r="AF257" s="65"/>
      <c r="AG257" s="20">
        <f>COUNTA(Last:end!M257)</f>
        <v>0</v>
      </c>
      <c r="AH257" s="22">
        <f>COUNTA(Last:end!M257)/6</f>
        <v>0</v>
      </c>
      <c r="AI257" s="65"/>
      <c r="AJ257" s="20">
        <f>MIN(Last:end!L257)</f>
        <v>0</v>
      </c>
      <c r="AK257" s="20" t="e">
        <f>IF(AND(AJ257&lt;=2023,#REF!="high interest / inadequate offer "),"yes","no")</f>
        <v>#REF!</v>
      </c>
      <c r="AL257" s="20" t="str">
        <f t="shared" ref="AL257:AL272" si="65">IF(AD257&gt;1,"yes", "no")</f>
        <v>no</v>
      </c>
      <c r="AM257" s="157"/>
      <c r="AN257" s="157"/>
      <c r="AO257" s="157"/>
      <c r="AP257" s="157">
        <v>0</v>
      </c>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row>
    <row r="258" spans="1:209" s="26" customFormat="1" ht="62.25" customHeight="1">
      <c r="A258" s="8" t="s">
        <v>20</v>
      </c>
      <c r="B258" s="31" t="s">
        <v>54</v>
      </c>
      <c r="C258" s="18" t="s">
        <v>751</v>
      </c>
      <c r="D258" s="18" t="s">
        <v>755</v>
      </c>
      <c r="E258" s="69" t="s">
        <v>756</v>
      </c>
      <c r="F258" s="8"/>
      <c r="G258" s="18" t="s">
        <v>62</v>
      </c>
      <c r="H258" s="18" t="s">
        <v>754</v>
      </c>
      <c r="I258" s="18" t="s">
        <v>485</v>
      </c>
      <c r="J258" s="8"/>
      <c r="K258" s="8"/>
      <c r="L258" s="8"/>
      <c r="M258" s="8"/>
      <c r="N258" s="8"/>
      <c r="O258" s="8"/>
      <c r="P258" s="8"/>
      <c r="Q258" s="157"/>
      <c r="R258" s="8"/>
      <c r="S258" s="8"/>
      <c r="T258" s="8"/>
      <c r="U258" s="8"/>
      <c r="V258" s="8"/>
      <c r="W258" s="8"/>
      <c r="X258" s="8"/>
      <c r="Y258" s="8"/>
      <c r="Z258" s="8"/>
      <c r="AA258" s="8"/>
      <c r="AB258" s="157"/>
      <c r="AC258" s="314" t="str">
        <f t="shared" ref="AC258:AC272" si="66">IF(AD258&gt;0,"yes", "no")</f>
        <v>yes</v>
      </c>
      <c r="AD258" s="314">
        <f>COUNTA(first:Last!R258)</f>
        <v>5</v>
      </c>
      <c r="AE258" s="157">
        <f>SUM(first:Last!Z258)</f>
        <v>0</v>
      </c>
      <c r="AF258" s="157" t="str">
        <f t="shared" ref="AF258:AF272" si="67">IF(AH258&gt;0,"yes", "no")</f>
        <v>yes</v>
      </c>
      <c r="AG258" s="157">
        <f>COUNTA(Last:end!M258)</f>
        <v>3</v>
      </c>
      <c r="AH258" s="520">
        <f>COUNTA(Last:end!M258)/6</f>
        <v>0.5</v>
      </c>
      <c r="AI258" s="157">
        <f>SUM(Last:end!O258)</f>
        <v>0</v>
      </c>
      <c r="AJ258" s="157">
        <f>MIN(Last:end!L258)</f>
        <v>2023</v>
      </c>
      <c r="AK258" s="157" t="e">
        <f>IF(AND(AJ258&lt;=2023,#REF!="high interest / inadequate offer "),"yes","no")</f>
        <v>#REF!</v>
      </c>
      <c r="AL258" s="157" t="str">
        <f t="shared" si="65"/>
        <v>yes</v>
      </c>
      <c r="AM258" s="157"/>
      <c r="AN258" s="157"/>
      <c r="AO258" s="157"/>
      <c r="AP258" s="157">
        <v>1</v>
      </c>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row>
    <row r="259" spans="1:209" s="26" customFormat="1" ht="62.25" customHeight="1">
      <c r="A259" s="8" t="s">
        <v>20</v>
      </c>
      <c r="B259" s="31" t="s">
        <v>54</v>
      </c>
      <c r="C259" s="18" t="s">
        <v>751</v>
      </c>
      <c r="D259" s="18" t="s">
        <v>757</v>
      </c>
      <c r="E259" s="69" t="s">
        <v>758</v>
      </c>
      <c r="F259" s="8"/>
      <c r="G259" s="18" t="s">
        <v>62</v>
      </c>
      <c r="H259" s="18" t="s">
        <v>754</v>
      </c>
      <c r="I259" s="18" t="s">
        <v>485</v>
      </c>
      <c r="J259" s="8"/>
      <c r="K259" s="8"/>
      <c r="L259" s="8"/>
      <c r="M259" s="8"/>
      <c r="N259" s="8"/>
      <c r="O259" s="8"/>
      <c r="P259" s="8"/>
      <c r="Q259" s="157"/>
      <c r="R259" s="8"/>
      <c r="S259" s="8"/>
      <c r="T259" s="8"/>
      <c r="U259" s="8"/>
      <c r="V259" s="8"/>
      <c r="W259" s="8"/>
      <c r="X259" s="8"/>
      <c r="Y259" s="8"/>
      <c r="Z259" s="8"/>
      <c r="AA259" s="8"/>
      <c r="AB259" s="157"/>
      <c r="AC259" s="314" t="str">
        <f t="shared" si="66"/>
        <v>yes</v>
      </c>
      <c r="AD259" s="314">
        <f>COUNTA(first:Last!R259)</f>
        <v>3</v>
      </c>
      <c r="AE259" s="157">
        <f>SUM(first:Last!Z259)</f>
        <v>0</v>
      </c>
      <c r="AF259" s="157" t="str">
        <f t="shared" si="67"/>
        <v>yes</v>
      </c>
      <c r="AG259" s="157">
        <f>COUNTA(Last:end!M259)</f>
        <v>3</v>
      </c>
      <c r="AH259" s="520">
        <f>COUNTA(Last:end!M259)/6</f>
        <v>0.5</v>
      </c>
      <c r="AI259" s="157">
        <f>SUM(Last:end!O259)</f>
        <v>0</v>
      </c>
      <c r="AJ259" s="157">
        <f>MIN(Last:end!L259)</f>
        <v>2023</v>
      </c>
      <c r="AK259" s="157" t="e">
        <f>IF(AND(AJ259&lt;=2023,#REF!="high interest / inadequate offer "),"yes","no")</f>
        <v>#REF!</v>
      </c>
      <c r="AL259" s="157" t="str">
        <f t="shared" si="65"/>
        <v>yes</v>
      </c>
      <c r="AM259" s="157"/>
      <c r="AN259" s="157"/>
      <c r="AO259" s="157"/>
      <c r="AP259" s="157">
        <v>1</v>
      </c>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row>
    <row r="260" spans="1:209" s="26" customFormat="1" ht="62.25" customHeight="1">
      <c r="A260" s="8" t="s">
        <v>20</v>
      </c>
      <c r="B260" s="31" t="s">
        <v>54</v>
      </c>
      <c r="C260" s="18" t="s">
        <v>751</v>
      </c>
      <c r="D260" s="18" t="s">
        <v>759</v>
      </c>
      <c r="E260" s="69" t="s">
        <v>760</v>
      </c>
      <c r="F260" s="8"/>
      <c r="G260" s="18" t="s">
        <v>62</v>
      </c>
      <c r="H260" s="18" t="s">
        <v>754</v>
      </c>
      <c r="I260" s="18" t="s">
        <v>485</v>
      </c>
      <c r="J260" s="8"/>
      <c r="K260" s="8"/>
      <c r="L260" s="8"/>
      <c r="M260" s="8"/>
      <c r="N260" s="8"/>
      <c r="O260" s="8"/>
      <c r="P260" s="8"/>
      <c r="Q260" s="157"/>
      <c r="R260" s="8"/>
      <c r="S260" s="8"/>
      <c r="T260" s="8"/>
      <c r="U260" s="8"/>
      <c r="V260" s="8"/>
      <c r="W260" s="8"/>
      <c r="X260" s="8"/>
      <c r="Y260" s="8"/>
      <c r="Z260" s="8"/>
      <c r="AA260" s="8"/>
      <c r="AB260" s="157"/>
      <c r="AC260" s="314" t="str">
        <f t="shared" si="66"/>
        <v>yes</v>
      </c>
      <c r="AD260" s="314">
        <f>COUNTA(first:Last!R260)</f>
        <v>3</v>
      </c>
      <c r="AE260" s="157">
        <f>SUM(first:Last!Z260)</f>
        <v>0</v>
      </c>
      <c r="AF260" s="157" t="str">
        <f t="shared" si="67"/>
        <v>yes</v>
      </c>
      <c r="AG260" s="157">
        <f>COUNTA(Last:end!M260)</f>
        <v>4</v>
      </c>
      <c r="AH260" s="520">
        <f>COUNTA(Last:end!M260)/6</f>
        <v>0.66666666666666663</v>
      </c>
      <c r="AI260" s="157">
        <f>SUM(Last:end!O260)</f>
        <v>0</v>
      </c>
      <c r="AJ260" s="157">
        <f>MIN(Last:end!L260)</f>
        <v>2023</v>
      </c>
      <c r="AK260" s="157" t="e">
        <f>IF(AND(AJ260&lt;=2023,#REF!="high interest / inadequate offer "),"yes","no")</f>
        <v>#REF!</v>
      </c>
      <c r="AL260" s="157" t="str">
        <f t="shared" si="65"/>
        <v>yes</v>
      </c>
      <c r="AM260" s="157"/>
      <c r="AN260" s="157"/>
      <c r="AO260" s="157"/>
      <c r="AP260" s="157">
        <v>1</v>
      </c>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row>
    <row r="261" spans="1:209" s="26" customFormat="1" ht="62.25" customHeight="1">
      <c r="A261" s="8" t="s">
        <v>20</v>
      </c>
      <c r="B261" s="31" t="s">
        <v>54</v>
      </c>
      <c r="C261" s="18" t="s">
        <v>751</v>
      </c>
      <c r="D261" s="18" t="s">
        <v>761</v>
      </c>
      <c r="E261" s="69" t="s">
        <v>762</v>
      </c>
      <c r="F261" s="8"/>
      <c r="G261" s="18" t="s">
        <v>62</v>
      </c>
      <c r="H261" s="18" t="s">
        <v>754</v>
      </c>
      <c r="I261" s="18" t="s">
        <v>485</v>
      </c>
      <c r="J261" s="8"/>
      <c r="K261" s="8"/>
      <c r="L261" s="8"/>
      <c r="M261" s="8"/>
      <c r="N261" s="8"/>
      <c r="O261" s="8"/>
      <c r="P261" s="8"/>
      <c r="Q261" s="157"/>
      <c r="R261" s="8"/>
      <c r="S261" s="8"/>
      <c r="T261" s="8"/>
      <c r="U261" s="8"/>
      <c r="V261" s="8"/>
      <c r="W261" s="8"/>
      <c r="X261" s="8"/>
      <c r="Y261" s="8"/>
      <c r="Z261" s="8"/>
      <c r="AA261" s="8"/>
      <c r="AB261" s="157"/>
      <c r="AC261" s="314" t="str">
        <f t="shared" si="66"/>
        <v>yes</v>
      </c>
      <c r="AD261" s="314">
        <f>COUNTA(first:Last!R261)</f>
        <v>3</v>
      </c>
      <c r="AE261" s="157">
        <f>SUM(first:Last!Z261)</f>
        <v>0</v>
      </c>
      <c r="AF261" s="157" t="str">
        <f t="shared" si="67"/>
        <v>yes</v>
      </c>
      <c r="AG261" s="157">
        <f>COUNTA(Last:end!M261)</f>
        <v>3</v>
      </c>
      <c r="AH261" s="520">
        <f>COUNTA(Last:end!M261)/6</f>
        <v>0.5</v>
      </c>
      <c r="AI261" s="157">
        <f>SUM(Last:end!O261)</f>
        <v>0</v>
      </c>
      <c r="AJ261" s="157">
        <f>MIN(Last:end!L261)</f>
        <v>2023</v>
      </c>
      <c r="AK261" s="157" t="e">
        <f>IF(AND(AJ261&lt;=2023,#REF!="high interest / inadequate offer "),"yes","no")</f>
        <v>#REF!</v>
      </c>
      <c r="AL261" s="157" t="str">
        <f t="shared" si="65"/>
        <v>yes</v>
      </c>
      <c r="AM261" s="157"/>
      <c r="AN261" s="157"/>
      <c r="AO261" s="157"/>
      <c r="AP261" s="157">
        <v>1</v>
      </c>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row>
    <row r="262" spans="1:209" s="26" customFormat="1" ht="62.25" customHeight="1">
      <c r="A262" s="8" t="s">
        <v>20</v>
      </c>
      <c r="B262" s="31" t="s">
        <v>54</v>
      </c>
      <c r="C262" s="18" t="s">
        <v>751</v>
      </c>
      <c r="D262" s="18" t="s">
        <v>763</v>
      </c>
      <c r="E262" s="69" t="s">
        <v>764</v>
      </c>
      <c r="F262" s="8"/>
      <c r="G262" s="18" t="s">
        <v>62</v>
      </c>
      <c r="H262" s="18" t="s">
        <v>754</v>
      </c>
      <c r="I262" s="18" t="s">
        <v>485</v>
      </c>
      <c r="J262" s="8"/>
      <c r="K262" s="8"/>
      <c r="L262" s="8"/>
      <c r="M262" s="8"/>
      <c r="N262" s="8"/>
      <c r="O262" s="8"/>
      <c r="P262" s="8"/>
      <c r="Q262" s="157"/>
      <c r="R262" s="8"/>
      <c r="S262" s="8"/>
      <c r="T262" s="8"/>
      <c r="U262" s="8"/>
      <c r="V262" s="8"/>
      <c r="W262" s="8"/>
      <c r="X262" s="8"/>
      <c r="Y262" s="8"/>
      <c r="Z262" s="8"/>
      <c r="AA262" s="8"/>
      <c r="AB262" s="157"/>
      <c r="AC262" s="314" t="str">
        <f t="shared" si="66"/>
        <v>yes</v>
      </c>
      <c r="AD262" s="314">
        <f>COUNTA(first:Last!R262)</f>
        <v>3</v>
      </c>
      <c r="AE262" s="157">
        <f>SUM(first:Last!Z262)</f>
        <v>0</v>
      </c>
      <c r="AF262" s="157" t="str">
        <f t="shared" si="67"/>
        <v>yes</v>
      </c>
      <c r="AG262" s="157">
        <f>COUNTA(Last:end!M262)</f>
        <v>4</v>
      </c>
      <c r="AH262" s="520">
        <f>COUNTA(Last:end!M262)/6</f>
        <v>0.66666666666666663</v>
      </c>
      <c r="AI262" s="157">
        <f>SUM(Last:end!O262)</f>
        <v>0</v>
      </c>
      <c r="AJ262" s="157">
        <f>MIN(Last:end!L262)</f>
        <v>2023</v>
      </c>
      <c r="AK262" s="157" t="e">
        <f>IF(AND(AJ262&lt;=2023,#REF!="high interest / inadequate offer "),"yes","no")</f>
        <v>#REF!</v>
      </c>
      <c r="AL262" s="157" t="str">
        <f t="shared" si="65"/>
        <v>yes</v>
      </c>
      <c r="AM262" s="157"/>
      <c r="AN262" s="157"/>
      <c r="AO262" s="157"/>
      <c r="AP262" s="157">
        <v>1</v>
      </c>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row>
    <row r="263" spans="1:209" s="26" customFormat="1" ht="62.25" customHeight="1">
      <c r="A263" s="8" t="s">
        <v>20</v>
      </c>
      <c r="B263" s="31" t="s">
        <v>54</v>
      </c>
      <c r="C263" s="18" t="s">
        <v>751</v>
      </c>
      <c r="D263" s="18" t="s">
        <v>765</v>
      </c>
      <c r="E263" s="69" t="s">
        <v>766</v>
      </c>
      <c r="F263" s="8"/>
      <c r="G263" s="18" t="s">
        <v>62</v>
      </c>
      <c r="H263" s="18" t="s">
        <v>754</v>
      </c>
      <c r="I263" s="18" t="s">
        <v>485</v>
      </c>
      <c r="J263" s="8"/>
      <c r="K263" s="8"/>
      <c r="L263" s="8"/>
      <c r="M263" s="8"/>
      <c r="N263" s="8"/>
      <c r="O263" s="8"/>
      <c r="P263" s="8"/>
      <c r="Q263" s="157"/>
      <c r="R263" s="8"/>
      <c r="S263" s="8"/>
      <c r="T263" s="8"/>
      <c r="U263" s="8"/>
      <c r="V263" s="8"/>
      <c r="W263" s="8"/>
      <c r="X263" s="8"/>
      <c r="Y263" s="8"/>
      <c r="Z263" s="8"/>
      <c r="AA263" s="8"/>
      <c r="AB263" s="157"/>
      <c r="AC263" s="314" t="str">
        <f t="shared" si="66"/>
        <v>yes</v>
      </c>
      <c r="AD263" s="314">
        <f>COUNTA(first:Last!R263)</f>
        <v>3</v>
      </c>
      <c r="AE263" s="157">
        <f>SUM(first:Last!Z263)</f>
        <v>0</v>
      </c>
      <c r="AF263" s="157" t="str">
        <f t="shared" si="67"/>
        <v>yes</v>
      </c>
      <c r="AG263" s="157">
        <f>COUNTA(Last:end!M263)</f>
        <v>3</v>
      </c>
      <c r="AH263" s="520">
        <f>COUNTA(Last:end!M263)/6</f>
        <v>0.5</v>
      </c>
      <c r="AI263" s="157">
        <f>SUM(Last:end!O263)</f>
        <v>0</v>
      </c>
      <c r="AJ263" s="157">
        <f>MIN(Last:end!L263)</f>
        <v>2023</v>
      </c>
      <c r="AK263" s="157" t="e">
        <f>IF(AND(AJ263&lt;=2023,#REF!="high interest / inadequate offer "),"yes","no")</f>
        <v>#REF!</v>
      </c>
      <c r="AL263" s="157" t="str">
        <f t="shared" si="65"/>
        <v>yes</v>
      </c>
      <c r="AM263" s="157"/>
      <c r="AN263" s="157"/>
      <c r="AO263" s="157"/>
      <c r="AP263" s="157">
        <v>1</v>
      </c>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row>
    <row r="264" spans="1:209" s="26" customFormat="1" ht="62.25" customHeight="1">
      <c r="A264" s="8" t="s">
        <v>20</v>
      </c>
      <c r="B264" s="31" t="s">
        <v>54</v>
      </c>
      <c r="C264" s="18" t="s">
        <v>751</v>
      </c>
      <c r="D264" s="18" t="s">
        <v>767</v>
      </c>
      <c r="E264" s="69" t="s">
        <v>768</v>
      </c>
      <c r="F264" s="8"/>
      <c r="G264" s="18" t="s">
        <v>62</v>
      </c>
      <c r="H264" s="18" t="s">
        <v>754</v>
      </c>
      <c r="I264" s="18" t="s">
        <v>485</v>
      </c>
      <c r="J264" s="8"/>
      <c r="K264" s="8"/>
      <c r="L264" s="8"/>
      <c r="M264" s="8"/>
      <c r="N264" s="8"/>
      <c r="O264" s="8"/>
      <c r="P264" s="8"/>
      <c r="Q264" s="157"/>
      <c r="R264" s="8"/>
      <c r="S264" s="8"/>
      <c r="T264" s="8"/>
      <c r="U264" s="8"/>
      <c r="V264" s="8"/>
      <c r="W264" s="8"/>
      <c r="X264" s="8"/>
      <c r="Y264" s="8"/>
      <c r="Z264" s="8"/>
      <c r="AA264" s="8"/>
      <c r="AB264" s="157"/>
      <c r="AC264" s="314" t="str">
        <f t="shared" si="66"/>
        <v>yes</v>
      </c>
      <c r="AD264" s="314">
        <f>COUNTA(first:Last!R264)</f>
        <v>3</v>
      </c>
      <c r="AE264" s="157">
        <f>SUM(first:Last!Z264)</f>
        <v>0</v>
      </c>
      <c r="AF264" s="157" t="str">
        <f t="shared" si="67"/>
        <v>yes</v>
      </c>
      <c r="AG264" s="157">
        <f>COUNTA(Last:end!M264)</f>
        <v>3</v>
      </c>
      <c r="AH264" s="520">
        <f>COUNTA(Last:end!M264)/6</f>
        <v>0.5</v>
      </c>
      <c r="AI264" s="157">
        <f>SUM(Last:end!O264)</f>
        <v>0</v>
      </c>
      <c r="AJ264" s="157">
        <f>MIN(Last:end!L264)</f>
        <v>2023</v>
      </c>
      <c r="AK264" s="157" t="e">
        <f>IF(AND(AJ264&lt;=2023,#REF!="high interest / inadequate offer "),"yes","no")</f>
        <v>#REF!</v>
      </c>
      <c r="AL264" s="157" t="str">
        <f t="shared" si="65"/>
        <v>yes</v>
      </c>
      <c r="AM264" s="157"/>
      <c r="AN264" s="157"/>
      <c r="AO264" s="157"/>
      <c r="AP264" s="157">
        <v>1</v>
      </c>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row>
    <row r="265" spans="1:209" s="26" customFormat="1" ht="62.25" customHeight="1">
      <c r="A265" s="8" t="s">
        <v>20</v>
      </c>
      <c r="B265" s="31" t="s">
        <v>54</v>
      </c>
      <c r="C265" s="18" t="s">
        <v>751</v>
      </c>
      <c r="D265" s="18" t="s">
        <v>769</v>
      </c>
      <c r="E265" s="69" t="s">
        <v>770</v>
      </c>
      <c r="F265" s="8"/>
      <c r="G265" s="18" t="s">
        <v>62</v>
      </c>
      <c r="H265" s="18" t="s">
        <v>754</v>
      </c>
      <c r="I265" s="18" t="s">
        <v>485</v>
      </c>
      <c r="J265" s="8"/>
      <c r="K265" s="8"/>
      <c r="L265" s="8"/>
      <c r="M265" s="8"/>
      <c r="N265" s="8"/>
      <c r="O265" s="8"/>
      <c r="P265" s="8"/>
      <c r="Q265" s="157"/>
      <c r="R265" s="8"/>
      <c r="S265" s="8"/>
      <c r="T265" s="8"/>
      <c r="U265" s="8"/>
      <c r="V265" s="8"/>
      <c r="W265" s="8"/>
      <c r="X265" s="8"/>
      <c r="Y265" s="8"/>
      <c r="Z265" s="8"/>
      <c r="AA265" s="8"/>
      <c r="AB265" s="157"/>
      <c r="AC265" s="314" t="str">
        <f t="shared" si="66"/>
        <v>yes</v>
      </c>
      <c r="AD265" s="314">
        <f>COUNTA(first:Last!R265)</f>
        <v>4</v>
      </c>
      <c r="AE265" s="157">
        <f>SUM(first:Last!Z265)</f>
        <v>0</v>
      </c>
      <c r="AF265" s="157" t="str">
        <f t="shared" si="67"/>
        <v>yes</v>
      </c>
      <c r="AG265" s="157">
        <f>COUNTA(Last:end!M265)</f>
        <v>3</v>
      </c>
      <c r="AH265" s="520">
        <f>COUNTA(Last:end!M265)/6</f>
        <v>0.5</v>
      </c>
      <c r="AI265" s="157">
        <f>SUM(Last:end!O265)</f>
        <v>0</v>
      </c>
      <c r="AJ265" s="157">
        <f>MIN(Last:end!L265)</f>
        <v>2023</v>
      </c>
      <c r="AK265" s="157" t="e">
        <f>IF(AND(AJ265&lt;=2023,#REF!="high interest / inadequate offer "),"yes","no")</f>
        <v>#REF!</v>
      </c>
      <c r="AL265" s="157" t="str">
        <f t="shared" si="65"/>
        <v>yes</v>
      </c>
      <c r="AM265" s="157"/>
      <c r="AN265" s="157"/>
      <c r="AO265" s="157"/>
      <c r="AP265" s="157">
        <v>1</v>
      </c>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row>
    <row r="266" spans="1:209" s="26" customFormat="1" ht="62.25" customHeight="1">
      <c r="A266" s="8" t="s">
        <v>20</v>
      </c>
      <c r="B266" s="31" t="s">
        <v>54</v>
      </c>
      <c r="C266" s="18" t="s">
        <v>751</v>
      </c>
      <c r="D266" s="18" t="s">
        <v>771</v>
      </c>
      <c r="E266" s="18" t="s">
        <v>772</v>
      </c>
      <c r="F266" s="8"/>
      <c r="G266" s="18" t="s">
        <v>62</v>
      </c>
      <c r="H266" s="18" t="s">
        <v>773</v>
      </c>
      <c r="I266" s="18" t="s">
        <v>139</v>
      </c>
      <c r="J266" s="8"/>
      <c r="K266" s="8"/>
      <c r="L266" s="8"/>
      <c r="M266" s="8"/>
      <c r="N266" s="8"/>
      <c r="O266" s="8"/>
      <c r="P266" s="8"/>
      <c r="Q266" s="157"/>
      <c r="R266" s="8"/>
      <c r="S266" s="8"/>
      <c r="T266" s="8"/>
      <c r="U266" s="8"/>
      <c r="V266" s="8"/>
      <c r="W266" s="8"/>
      <c r="X266" s="8"/>
      <c r="Y266" s="8"/>
      <c r="Z266" s="8"/>
      <c r="AA266" s="8"/>
      <c r="AB266" s="157"/>
      <c r="AC266" s="314" t="str">
        <f t="shared" si="66"/>
        <v>yes</v>
      </c>
      <c r="AD266" s="314">
        <f>COUNTA(first:Last!R266)</f>
        <v>2</v>
      </c>
      <c r="AE266" s="157">
        <f>SUM(first:Last!Z266)</f>
        <v>0</v>
      </c>
      <c r="AF266" s="157" t="str">
        <f t="shared" si="67"/>
        <v>yes</v>
      </c>
      <c r="AG266" s="157">
        <f>COUNTA(Last:end!M266)</f>
        <v>1</v>
      </c>
      <c r="AH266" s="520">
        <f>COUNTA(Last:end!M266)/6</f>
        <v>0.16666666666666666</v>
      </c>
      <c r="AI266" s="157">
        <f>SUM(Last:end!O266)</f>
        <v>0</v>
      </c>
      <c r="AJ266" s="157">
        <f>MIN(Last:end!L266)</f>
        <v>0</v>
      </c>
      <c r="AK266" s="157" t="e">
        <f>IF(AND(AJ266&lt;=2023,#REF!="high interest / inadequate offer "),"yes","no")</f>
        <v>#REF!</v>
      </c>
      <c r="AL266" s="157" t="str">
        <f t="shared" si="65"/>
        <v>yes</v>
      </c>
      <c r="AM266" s="157"/>
      <c r="AN266" s="157"/>
      <c r="AO266" s="157"/>
      <c r="AP266" s="157">
        <v>1</v>
      </c>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row>
    <row r="267" spans="1:209" s="26" customFormat="1" ht="62.25" customHeight="1">
      <c r="A267" s="8" t="s">
        <v>20</v>
      </c>
      <c r="B267" s="31" t="s">
        <v>54</v>
      </c>
      <c r="C267" s="8" t="s">
        <v>774</v>
      </c>
      <c r="D267" s="8" t="s">
        <v>775</v>
      </c>
      <c r="E267" s="8" t="s">
        <v>776</v>
      </c>
      <c r="F267" s="8"/>
      <c r="G267" s="8" t="s">
        <v>62</v>
      </c>
      <c r="H267" s="8" t="s">
        <v>777</v>
      </c>
      <c r="I267" s="8" t="s">
        <v>494</v>
      </c>
      <c r="J267" s="8"/>
      <c r="K267" s="8"/>
      <c r="L267" s="8"/>
      <c r="M267" s="8"/>
      <c r="N267" s="8"/>
      <c r="O267" s="8"/>
      <c r="P267" s="8"/>
      <c r="Q267" s="157"/>
      <c r="R267" s="8"/>
      <c r="S267" s="8"/>
      <c r="T267" s="8"/>
      <c r="U267" s="8"/>
      <c r="V267" s="8"/>
      <c r="W267" s="8"/>
      <c r="X267" s="8"/>
      <c r="Y267" s="8"/>
      <c r="Z267" s="8"/>
      <c r="AA267" s="8"/>
      <c r="AB267" s="157"/>
      <c r="AC267" s="314" t="str">
        <f t="shared" si="66"/>
        <v>yes</v>
      </c>
      <c r="AD267" s="314">
        <f>COUNTA(first:Last!R267)</f>
        <v>3</v>
      </c>
      <c r="AE267" s="157">
        <f>SUM(first:Last!Z267)</f>
        <v>101007</v>
      </c>
      <c r="AF267" s="157" t="str">
        <f t="shared" si="67"/>
        <v>yes</v>
      </c>
      <c r="AG267" s="157">
        <f>COUNTA(Last:end!M267)</f>
        <v>1</v>
      </c>
      <c r="AH267" s="520">
        <f>COUNTA(Last:end!M267)/6</f>
        <v>0.16666666666666666</v>
      </c>
      <c r="AI267" s="157">
        <f>SUM(Last:end!O267)</f>
        <v>0</v>
      </c>
      <c r="AJ267" s="157">
        <f>MIN(Last:end!L267)</f>
        <v>0</v>
      </c>
      <c r="AK267" s="157" t="e">
        <f>IF(AND(AJ267&lt;=2023,#REF!="high interest / inadequate offer "),"yes","no")</f>
        <v>#REF!</v>
      </c>
      <c r="AL267" s="157" t="str">
        <f t="shared" si="65"/>
        <v>yes</v>
      </c>
      <c r="AM267" s="157"/>
      <c r="AN267" s="157"/>
      <c r="AO267" s="157"/>
      <c r="AP267" s="157">
        <v>1</v>
      </c>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row>
    <row r="268" spans="1:209" s="26" customFormat="1" ht="62.25" customHeight="1">
      <c r="A268" s="8" t="s">
        <v>20</v>
      </c>
      <c r="B268" s="31" t="s">
        <v>54</v>
      </c>
      <c r="C268" s="8" t="s">
        <v>774</v>
      </c>
      <c r="D268" s="8" t="s">
        <v>778</v>
      </c>
      <c r="E268" s="8" t="s">
        <v>779</v>
      </c>
      <c r="F268" s="8"/>
      <c r="G268" s="8" t="s">
        <v>62</v>
      </c>
      <c r="H268" s="8" t="s">
        <v>780</v>
      </c>
      <c r="I268" s="8">
        <v>5</v>
      </c>
      <c r="J268" s="8"/>
      <c r="K268" s="8"/>
      <c r="L268" s="8"/>
      <c r="M268" s="8"/>
      <c r="N268" s="8"/>
      <c r="O268" s="8"/>
      <c r="P268" s="8"/>
      <c r="Q268" s="157"/>
      <c r="R268" s="8"/>
      <c r="S268" s="8"/>
      <c r="T268" s="8"/>
      <c r="U268" s="8"/>
      <c r="V268" s="8"/>
      <c r="W268" s="8"/>
      <c r="X268" s="8"/>
      <c r="Y268" s="8"/>
      <c r="Z268" s="8"/>
      <c r="AA268" s="8"/>
      <c r="AB268" s="157"/>
      <c r="AC268" s="314" t="str">
        <f t="shared" si="66"/>
        <v>no</v>
      </c>
      <c r="AD268" s="314">
        <f>COUNTA(first:Last!R268)</f>
        <v>0</v>
      </c>
      <c r="AE268" s="157">
        <f>SUM(first:Last!Z268)</f>
        <v>0</v>
      </c>
      <c r="AF268" s="157" t="str">
        <f t="shared" si="67"/>
        <v>yes</v>
      </c>
      <c r="AG268" s="157">
        <f>COUNTA(Last:end!M268)</f>
        <v>2</v>
      </c>
      <c r="AH268" s="520">
        <f>COUNTA(Last:end!M268)/6</f>
        <v>0.33333333333333331</v>
      </c>
      <c r="AI268" s="157">
        <f>SUM(Last:end!O268)</f>
        <v>0</v>
      </c>
      <c r="AJ268" s="157">
        <f>MIN(Last:end!L268)</f>
        <v>2022</v>
      </c>
      <c r="AK268" s="157" t="e">
        <f>IF(AND(AJ268&lt;=2023,#REF!="high interest / inadequate offer "),"yes","no")</f>
        <v>#REF!</v>
      </c>
      <c r="AL268" s="157" t="str">
        <f t="shared" si="65"/>
        <v>no</v>
      </c>
      <c r="AM268" s="157"/>
      <c r="AN268" s="157"/>
      <c r="AO268" s="157"/>
      <c r="AP268" s="157">
        <v>1</v>
      </c>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row>
    <row r="269" spans="1:209" s="26" customFormat="1" ht="62.25" customHeight="1">
      <c r="A269" s="8" t="s">
        <v>20</v>
      </c>
      <c r="B269" s="31" t="s">
        <v>54</v>
      </c>
      <c r="C269" s="8" t="s">
        <v>774</v>
      </c>
      <c r="D269" s="8" t="s">
        <v>781</v>
      </c>
      <c r="E269" s="8" t="s">
        <v>782</v>
      </c>
      <c r="F269" s="8"/>
      <c r="G269" s="8" t="s">
        <v>62</v>
      </c>
      <c r="H269" s="8" t="s">
        <v>783</v>
      </c>
      <c r="I269" s="9">
        <v>0.5</v>
      </c>
      <c r="J269" s="8"/>
      <c r="K269" s="8"/>
      <c r="L269" s="8"/>
      <c r="M269" s="8"/>
      <c r="N269" s="8"/>
      <c r="O269" s="8"/>
      <c r="P269" s="8"/>
      <c r="Q269" s="157"/>
      <c r="R269" s="8"/>
      <c r="S269" s="8"/>
      <c r="T269" s="8"/>
      <c r="U269" s="8"/>
      <c r="V269" s="8"/>
      <c r="W269" s="8"/>
      <c r="X269" s="8"/>
      <c r="Y269" s="8"/>
      <c r="Z269" s="8"/>
      <c r="AA269" s="8"/>
      <c r="AB269" s="157"/>
      <c r="AC269" s="314" t="str">
        <f t="shared" si="66"/>
        <v>no</v>
      </c>
      <c r="AD269" s="314">
        <f>COUNTA(first:Last!R269)</f>
        <v>0</v>
      </c>
      <c r="AE269" s="157">
        <f>SUM(first:Last!Z269)</f>
        <v>0</v>
      </c>
      <c r="AF269" s="157" t="str">
        <f t="shared" si="67"/>
        <v>yes</v>
      </c>
      <c r="AG269" s="157">
        <f>COUNTA(Last:end!M269)</f>
        <v>2</v>
      </c>
      <c r="AH269" s="520">
        <f>COUNTA(Last:end!M269)/6</f>
        <v>0.33333333333333331</v>
      </c>
      <c r="AI269" s="157">
        <f>SUM(Last:end!O269)</f>
        <v>0</v>
      </c>
      <c r="AJ269" s="157">
        <f>MIN(Last:end!L269)</f>
        <v>2022</v>
      </c>
      <c r="AK269" s="157" t="e">
        <f>IF(AND(AJ269&lt;=2023,#REF!="high interest / inadequate offer "),"yes","no")</f>
        <v>#REF!</v>
      </c>
      <c r="AL269" s="157" t="str">
        <f t="shared" si="65"/>
        <v>no</v>
      </c>
      <c r="AM269" s="157"/>
      <c r="AN269" s="157"/>
      <c r="AO269" s="157"/>
      <c r="AP269" s="157">
        <v>1</v>
      </c>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row>
    <row r="270" spans="1:209" s="26" customFormat="1" ht="62.25" customHeight="1">
      <c r="A270" s="8" t="s">
        <v>20</v>
      </c>
      <c r="B270" s="31" t="s">
        <v>54</v>
      </c>
      <c r="C270" s="8" t="s">
        <v>774</v>
      </c>
      <c r="D270" s="8" t="s">
        <v>784</v>
      </c>
      <c r="E270" s="8" t="s">
        <v>785</v>
      </c>
      <c r="F270" s="8"/>
      <c r="G270" s="8" t="s">
        <v>62</v>
      </c>
      <c r="H270" s="8" t="s">
        <v>786</v>
      </c>
      <c r="I270" s="8" t="s">
        <v>214</v>
      </c>
      <c r="J270" s="8"/>
      <c r="K270" s="8"/>
      <c r="L270" s="8"/>
      <c r="M270" s="8"/>
      <c r="N270" s="8"/>
      <c r="O270" s="8"/>
      <c r="P270" s="8"/>
      <c r="Q270" s="157"/>
      <c r="R270" s="8"/>
      <c r="S270" s="8"/>
      <c r="T270" s="8"/>
      <c r="U270" s="8"/>
      <c r="V270" s="8"/>
      <c r="W270" s="8"/>
      <c r="X270" s="8"/>
      <c r="Y270" s="8"/>
      <c r="Z270" s="8"/>
      <c r="AA270" s="8"/>
      <c r="AB270" s="157"/>
      <c r="AC270" s="314" t="str">
        <f t="shared" si="66"/>
        <v>yes</v>
      </c>
      <c r="AD270" s="314">
        <f>COUNTA(first:Last!R270)</f>
        <v>1</v>
      </c>
      <c r="AE270" s="157">
        <f>SUM(first:Last!Z270)</f>
        <v>0</v>
      </c>
      <c r="AF270" s="157" t="str">
        <f t="shared" si="67"/>
        <v>yes</v>
      </c>
      <c r="AG270" s="157">
        <f>COUNTA(Last:end!M270)</f>
        <v>2</v>
      </c>
      <c r="AH270" s="520">
        <f>COUNTA(Last:end!M270)/6</f>
        <v>0.33333333333333331</v>
      </c>
      <c r="AI270" s="157">
        <f>SUM(Last:end!O270)</f>
        <v>0</v>
      </c>
      <c r="AJ270" s="157">
        <f>MIN(Last:end!L270)</f>
        <v>2022</v>
      </c>
      <c r="AK270" s="157" t="e">
        <f>IF(AND(AJ270&lt;=2023,#REF!="high interest / inadequate offer "),"yes","no")</f>
        <v>#REF!</v>
      </c>
      <c r="AL270" s="157" t="str">
        <f t="shared" si="65"/>
        <v>no</v>
      </c>
      <c r="AM270" s="157"/>
      <c r="AN270" s="157"/>
      <c r="AO270" s="157"/>
      <c r="AP270" s="157">
        <v>1</v>
      </c>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row>
    <row r="271" spans="1:209" s="26" customFormat="1" ht="62.25" customHeight="1">
      <c r="A271" s="8" t="s">
        <v>20</v>
      </c>
      <c r="B271" s="31" t="s">
        <v>54</v>
      </c>
      <c r="C271" s="8" t="s">
        <v>774</v>
      </c>
      <c r="D271" s="8" t="s">
        <v>787</v>
      </c>
      <c r="E271" s="8" t="s">
        <v>788</v>
      </c>
      <c r="F271" s="8"/>
      <c r="G271" s="8" t="s">
        <v>62</v>
      </c>
      <c r="H271" s="8" t="s">
        <v>789</v>
      </c>
      <c r="I271" s="9">
        <v>1</v>
      </c>
      <c r="J271" s="8"/>
      <c r="K271" s="8"/>
      <c r="L271" s="8"/>
      <c r="M271" s="8"/>
      <c r="N271" s="8"/>
      <c r="O271" s="8"/>
      <c r="P271" s="8"/>
      <c r="Q271" s="157"/>
      <c r="R271" s="8"/>
      <c r="S271" s="8"/>
      <c r="T271" s="8"/>
      <c r="U271" s="8"/>
      <c r="V271" s="8"/>
      <c r="W271" s="8"/>
      <c r="X271" s="8"/>
      <c r="Y271" s="8"/>
      <c r="Z271" s="8"/>
      <c r="AA271" s="8"/>
      <c r="AB271" s="157"/>
      <c r="AC271" s="314" t="str">
        <f t="shared" si="66"/>
        <v>yes</v>
      </c>
      <c r="AD271" s="314">
        <f>COUNTA(first:Last!R271)</f>
        <v>1</v>
      </c>
      <c r="AE271" s="157">
        <f>SUM(first:Last!Z271)</f>
        <v>0</v>
      </c>
      <c r="AF271" s="157" t="str">
        <f t="shared" si="67"/>
        <v>yes</v>
      </c>
      <c r="AG271" s="157">
        <f>COUNTA(Last:end!M271)</f>
        <v>1</v>
      </c>
      <c r="AH271" s="520">
        <f>COUNTA(Last:end!M271)/6</f>
        <v>0.16666666666666666</v>
      </c>
      <c r="AI271" s="157">
        <f>SUM(Last:end!O271)</f>
        <v>0</v>
      </c>
      <c r="AJ271" s="157">
        <f>MIN(Last:end!L271)</f>
        <v>0</v>
      </c>
      <c r="AK271" s="157" t="e">
        <f>IF(AND(AJ271&lt;=2023,#REF!="high interest / inadequate offer "),"yes","no")</f>
        <v>#REF!</v>
      </c>
      <c r="AL271" s="157" t="str">
        <f t="shared" si="65"/>
        <v>no</v>
      </c>
      <c r="AM271" s="157"/>
      <c r="AN271" s="157"/>
      <c r="AO271" s="157"/>
      <c r="AP271" s="157">
        <v>1</v>
      </c>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row>
    <row r="272" spans="1:209" s="26" customFormat="1" ht="62.25" customHeight="1">
      <c r="A272" s="8" t="s">
        <v>20</v>
      </c>
      <c r="B272" s="31" t="s">
        <v>54</v>
      </c>
      <c r="C272" s="8" t="s">
        <v>774</v>
      </c>
      <c r="D272" s="8" t="s">
        <v>790</v>
      </c>
      <c r="E272" s="8" t="s">
        <v>791</v>
      </c>
      <c r="F272" s="8"/>
      <c r="G272" s="8" t="s">
        <v>62</v>
      </c>
      <c r="H272" s="8" t="s">
        <v>789</v>
      </c>
      <c r="I272" s="9">
        <v>1</v>
      </c>
      <c r="J272" s="8"/>
      <c r="K272" s="8"/>
      <c r="L272" s="8"/>
      <c r="M272" s="8"/>
      <c r="N272" s="8"/>
      <c r="O272" s="8"/>
      <c r="P272" s="8"/>
      <c r="Q272" s="157"/>
      <c r="R272" s="8"/>
      <c r="S272" s="8"/>
      <c r="T272" s="8"/>
      <c r="U272" s="8"/>
      <c r="V272" s="8"/>
      <c r="W272" s="8"/>
      <c r="X272" s="8"/>
      <c r="Y272" s="8"/>
      <c r="Z272" s="8"/>
      <c r="AA272" s="8"/>
      <c r="AB272" s="157"/>
      <c r="AC272" s="314" t="str">
        <f t="shared" si="66"/>
        <v>yes</v>
      </c>
      <c r="AD272" s="314">
        <f>COUNTA(first:Last!R272)</f>
        <v>1</v>
      </c>
      <c r="AE272" s="157">
        <f>SUM(first:Last!Z272)</f>
        <v>0</v>
      </c>
      <c r="AF272" s="157" t="str">
        <f t="shared" si="67"/>
        <v>yes</v>
      </c>
      <c r="AG272" s="157">
        <f>COUNTA(Last:end!M272)</f>
        <v>2</v>
      </c>
      <c r="AH272" s="520">
        <f>COUNTA(Last:end!M272)/6</f>
        <v>0.33333333333333331</v>
      </c>
      <c r="AI272" s="157">
        <f>SUM(Last:end!O272)</f>
        <v>0</v>
      </c>
      <c r="AJ272" s="157">
        <f>MIN(Last:end!L272)</f>
        <v>0</v>
      </c>
      <c r="AK272" s="157" t="e">
        <f>IF(AND(AJ272&lt;=2023,#REF!="high interest / inadequate offer "),"yes","no")</f>
        <v>#REF!</v>
      </c>
      <c r="AL272" s="157" t="str">
        <f t="shared" si="65"/>
        <v>no</v>
      </c>
      <c r="AM272" s="157"/>
      <c r="AN272" s="157"/>
      <c r="AO272" s="157"/>
      <c r="AP272" s="157">
        <v>1</v>
      </c>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row>
    <row r="273" spans="1:209" s="26" customFormat="1" ht="31.5">
      <c r="A273" s="20" t="s">
        <v>20</v>
      </c>
      <c r="B273" s="32" t="s">
        <v>54</v>
      </c>
      <c r="C273" s="19" t="s">
        <v>792</v>
      </c>
      <c r="D273" s="19" t="s">
        <v>582</v>
      </c>
      <c r="E273" s="19" t="s">
        <v>582</v>
      </c>
      <c r="F273" s="19" t="s">
        <v>582</v>
      </c>
      <c r="G273" s="19" t="s">
        <v>582</v>
      </c>
      <c r="H273" s="19" t="s">
        <v>582</v>
      </c>
      <c r="I273" s="19" t="s">
        <v>582</v>
      </c>
      <c r="J273" s="19" t="s">
        <v>582</v>
      </c>
      <c r="K273" s="19" t="s">
        <v>582</v>
      </c>
      <c r="L273" s="19" t="s">
        <v>582</v>
      </c>
      <c r="M273" s="19" t="s">
        <v>582</v>
      </c>
      <c r="N273" s="19" t="s">
        <v>582</v>
      </c>
      <c r="O273" s="19" t="s">
        <v>582</v>
      </c>
      <c r="P273" s="19" t="s">
        <v>582</v>
      </c>
      <c r="Q273" s="549"/>
      <c r="R273" s="19" t="s">
        <v>582</v>
      </c>
      <c r="S273" s="19" t="s">
        <v>582</v>
      </c>
      <c r="T273" s="19" t="s">
        <v>582</v>
      </c>
      <c r="U273" s="19"/>
      <c r="V273" s="19" t="s">
        <v>582</v>
      </c>
      <c r="W273" s="19" t="s">
        <v>582</v>
      </c>
      <c r="X273" s="19" t="s">
        <v>582</v>
      </c>
      <c r="Y273" s="19" t="s">
        <v>582</v>
      </c>
      <c r="Z273" s="19" t="s">
        <v>582</v>
      </c>
      <c r="AA273" s="19" t="s">
        <v>582</v>
      </c>
      <c r="AB273" s="19"/>
      <c r="AC273" s="157"/>
      <c r="AD273" s="157"/>
      <c r="AE273" s="157"/>
      <c r="AF273" s="157"/>
      <c r="AG273" s="20"/>
      <c r="AH273" s="20"/>
      <c r="AI273" s="20"/>
      <c r="AJ273" s="20"/>
      <c r="AK273" s="20"/>
      <c r="AL273" s="20"/>
      <c r="AM273" s="157"/>
      <c r="AN273" s="157"/>
      <c r="AO273" s="157"/>
      <c r="AP273" s="157">
        <v>0</v>
      </c>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row>
    <row r="274" spans="1:209" s="26" customFormat="1" ht="62.25" customHeight="1">
      <c r="A274" s="8" t="s">
        <v>20</v>
      </c>
      <c r="B274" s="29" t="s">
        <v>195</v>
      </c>
      <c r="C274" s="8" t="s">
        <v>793</v>
      </c>
      <c r="D274" s="8" t="s">
        <v>794</v>
      </c>
      <c r="E274" s="8" t="s">
        <v>795</v>
      </c>
      <c r="F274" s="8"/>
      <c r="G274" s="8" t="s">
        <v>62</v>
      </c>
      <c r="H274" s="8" t="s">
        <v>796</v>
      </c>
      <c r="I274" s="9">
        <v>1</v>
      </c>
      <c r="J274" s="8"/>
      <c r="K274" s="8"/>
      <c r="L274" s="8"/>
      <c r="M274" s="8"/>
      <c r="N274" s="8"/>
      <c r="O274" s="8"/>
      <c r="P274" s="8"/>
      <c r="Q274" s="157"/>
      <c r="R274" s="8"/>
      <c r="S274" s="8"/>
      <c r="T274" s="8"/>
      <c r="U274" s="8"/>
      <c r="V274" s="8"/>
      <c r="W274" s="8"/>
      <c r="X274" s="8"/>
      <c r="Y274" s="8"/>
      <c r="Z274" s="8"/>
      <c r="AA274" s="8"/>
      <c r="AB274" s="157"/>
      <c r="AC274" s="314" t="str">
        <f t="shared" ref="AC274" si="68">IF(AD274&gt;0,"yes", "no")</f>
        <v>yes</v>
      </c>
      <c r="AD274" s="314">
        <f>COUNTA(first:Last!R274)</f>
        <v>2</v>
      </c>
      <c r="AE274" s="157">
        <f>SUM(first:Last!Z274)</f>
        <v>0</v>
      </c>
      <c r="AF274" s="157" t="str">
        <f t="shared" ref="AF274" si="69">IF(AH274&gt;0,"yes", "no")</f>
        <v>yes</v>
      </c>
      <c r="AG274" s="157">
        <f>COUNTA(Last:end!M274)</f>
        <v>3</v>
      </c>
      <c r="AH274" s="520">
        <f>COUNTA(Last:end!M274)/6</f>
        <v>0.5</v>
      </c>
      <c r="AI274" s="157">
        <f>SUM(Last:end!O274)</f>
        <v>0</v>
      </c>
      <c r="AJ274" s="157">
        <f>MIN(Last:end!L274)</f>
        <v>2023</v>
      </c>
      <c r="AK274" s="157" t="e">
        <f>IF(AND(AJ274&lt;=2023,#REF!="high interest / inadequate offer "),"yes","no")</f>
        <v>#REF!</v>
      </c>
      <c r="AL274" s="157" t="str">
        <f t="shared" ref="AL274:AL297" si="70">IF(AD274&gt;1,"yes", "no")</f>
        <v>yes</v>
      </c>
      <c r="AM274" s="157"/>
      <c r="AN274" s="157"/>
      <c r="AO274" s="157"/>
      <c r="AP274" s="157">
        <v>1</v>
      </c>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row>
    <row r="275" spans="1:209" s="26" customFormat="1" ht="62.25" customHeight="1">
      <c r="A275" s="8" t="s">
        <v>20</v>
      </c>
      <c r="B275" s="29" t="s">
        <v>195</v>
      </c>
      <c r="C275" s="8" t="s">
        <v>793</v>
      </c>
      <c r="D275" s="8" t="s">
        <v>797</v>
      </c>
      <c r="E275" s="8" t="s">
        <v>798</v>
      </c>
      <c r="F275" s="8"/>
      <c r="G275" s="20" t="s">
        <v>62</v>
      </c>
      <c r="H275" s="20"/>
      <c r="I275" s="22"/>
      <c r="J275" s="20"/>
      <c r="K275" s="20"/>
      <c r="L275" s="20"/>
      <c r="M275" s="20"/>
      <c r="N275" s="20"/>
      <c r="O275" s="20"/>
      <c r="P275" s="20"/>
      <c r="Q275" s="157"/>
      <c r="R275" s="20"/>
      <c r="S275" s="20"/>
      <c r="T275" s="20"/>
      <c r="U275" s="20"/>
      <c r="V275" s="20"/>
      <c r="W275" s="20"/>
      <c r="X275" s="20"/>
      <c r="Y275" s="20"/>
      <c r="Z275" s="20"/>
      <c r="AA275" s="20"/>
      <c r="AB275" s="157"/>
      <c r="AC275" s="65"/>
      <c r="AD275" s="65"/>
      <c r="AE275" s="65"/>
      <c r="AF275" s="65"/>
      <c r="AG275" s="20">
        <f>COUNTA(Last:end!M275)</f>
        <v>0</v>
      </c>
      <c r="AH275" s="22">
        <f>COUNTA(Last:end!M275)/6</f>
        <v>0</v>
      </c>
      <c r="AI275" s="65"/>
      <c r="AJ275" s="20">
        <f>MIN(Last:end!L275)</f>
        <v>0</v>
      </c>
      <c r="AK275" s="20" t="e">
        <f>IF(AND(AJ275&lt;=2023,#REF!="high interest / inadequate offer "),"yes","no")</f>
        <v>#REF!</v>
      </c>
      <c r="AL275" s="20" t="str">
        <f t="shared" si="70"/>
        <v>no</v>
      </c>
      <c r="AM275" s="157"/>
      <c r="AN275" s="157"/>
      <c r="AO275" s="157"/>
      <c r="AP275" s="157">
        <v>0</v>
      </c>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row>
    <row r="276" spans="1:209" s="26" customFormat="1" ht="62.25" customHeight="1">
      <c r="A276" s="8" t="s">
        <v>20</v>
      </c>
      <c r="B276" s="29" t="s">
        <v>195</v>
      </c>
      <c r="C276" s="8" t="s">
        <v>793</v>
      </c>
      <c r="D276" s="8" t="s">
        <v>799</v>
      </c>
      <c r="E276" s="69" t="s">
        <v>800</v>
      </c>
      <c r="F276" s="8"/>
      <c r="G276" s="8" t="s">
        <v>62</v>
      </c>
      <c r="H276" s="8" t="s">
        <v>801</v>
      </c>
      <c r="I276" s="9">
        <v>1</v>
      </c>
      <c r="J276" s="8"/>
      <c r="K276" s="8"/>
      <c r="L276" s="8"/>
      <c r="M276" s="8"/>
      <c r="N276" s="8"/>
      <c r="O276" s="8"/>
      <c r="P276" s="8"/>
      <c r="Q276" s="157"/>
      <c r="R276" s="8"/>
      <c r="S276" s="8"/>
      <c r="T276" s="8"/>
      <c r="U276" s="8"/>
      <c r="V276" s="8"/>
      <c r="W276" s="8"/>
      <c r="X276" s="8"/>
      <c r="Y276" s="8"/>
      <c r="Z276" s="8"/>
      <c r="AA276" s="8"/>
      <c r="AB276" s="157"/>
      <c r="AC276" s="314" t="str">
        <f t="shared" ref="AC276:AC281" si="71">IF(AD276&gt;0,"yes", "no")</f>
        <v>yes</v>
      </c>
      <c r="AD276" s="314">
        <f>COUNTA(first:Last!R276)</f>
        <v>1</v>
      </c>
      <c r="AE276" s="157">
        <f>SUM(first:Last!Z276)</f>
        <v>0</v>
      </c>
      <c r="AF276" s="157" t="str">
        <f t="shared" ref="AF276:AF281" si="72">IF(AH276&gt;0,"yes", "no")</f>
        <v>yes</v>
      </c>
      <c r="AG276" s="157">
        <f>COUNTA(Last:end!M276)</f>
        <v>2</v>
      </c>
      <c r="AH276" s="520">
        <f>COUNTA(Last:end!M276)/6</f>
        <v>0.33333333333333331</v>
      </c>
      <c r="AI276" s="157">
        <f>SUM(Last:end!O276)</f>
        <v>9600</v>
      </c>
      <c r="AJ276" s="157">
        <f>MIN(Last:end!L276)</f>
        <v>2023</v>
      </c>
      <c r="AK276" s="157" t="e">
        <f>IF(AND(AJ276&lt;=2023,#REF!="high interest / inadequate offer "),"yes","no")</f>
        <v>#REF!</v>
      </c>
      <c r="AL276" s="157" t="str">
        <f t="shared" si="70"/>
        <v>no</v>
      </c>
      <c r="AM276" s="157"/>
      <c r="AN276" s="157"/>
      <c r="AO276" s="157"/>
      <c r="AP276" s="157">
        <v>1</v>
      </c>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row>
    <row r="277" spans="1:209" s="26" customFormat="1" ht="62.25" customHeight="1">
      <c r="A277" s="8" t="s">
        <v>20</v>
      </c>
      <c r="B277" s="29" t="s">
        <v>195</v>
      </c>
      <c r="C277" s="8" t="s">
        <v>793</v>
      </c>
      <c r="D277" s="8" t="s">
        <v>802</v>
      </c>
      <c r="E277" s="69" t="s">
        <v>803</v>
      </c>
      <c r="F277" s="8"/>
      <c r="G277" s="8" t="s">
        <v>62</v>
      </c>
      <c r="H277" s="8" t="s">
        <v>804</v>
      </c>
      <c r="I277" s="9">
        <v>1</v>
      </c>
      <c r="J277" s="8"/>
      <c r="K277" s="8"/>
      <c r="L277" s="8"/>
      <c r="M277" s="8"/>
      <c r="N277" s="8"/>
      <c r="O277" s="8"/>
      <c r="P277" s="8"/>
      <c r="Q277" s="157"/>
      <c r="R277" s="8"/>
      <c r="S277" s="8"/>
      <c r="T277" s="8"/>
      <c r="U277" s="8"/>
      <c r="V277" s="8"/>
      <c r="W277" s="8"/>
      <c r="X277" s="8"/>
      <c r="Y277" s="8"/>
      <c r="Z277" s="8"/>
      <c r="AA277" s="8"/>
      <c r="AB277" s="157"/>
      <c r="AC277" s="314" t="str">
        <f t="shared" si="71"/>
        <v>yes</v>
      </c>
      <c r="AD277" s="314">
        <f>COUNTA(first:Last!R277)</f>
        <v>1</v>
      </c>
      <c r="AE277" s="157">
        <f>SUM(first:Last!Z277)</f>
        <v>0</v>
      </c>
      <c r="AF277" s="157" t="str">
        <f t="shared" si="72"/>
        <v>yes</v>
      </c>
      <c r="AG277" s="157">
        <f>COUNTA(Last:end!M277)</f>
        <v>3</v>
      </c>
      <c r="AH277" s="520">
        <f>COUNTA(Last:end!M277)/6</f>
        <v>0.5</v>
      </c>
      <c r="AI277" s="157">
        <f>SUM(Last:end!O277)</f>
        <v>4000</v>
      </c>
      <c r="AJ277" s="157">
        <f>MIN(Last:end!L277)</f>
        <v>2023</v>
      </c>
      <c r="AK277" s="157" t="e">
        <f>IF(AND(AJ277&lt;=2023,#REF!="high interest / inadequate offer "),"yes","no")</f>
        <v>#REF!</v>
      </c>
      <c r="AL277" s="157" t="str">
        <f t="shared" si="70"/>
        <v>no</v>
      </c>
      <c r="AM277" s="157"/>
      <c r="AN277" s="157"/>
      <c r="AO277" s="157"/>
      <c r="AP277" s="157">
        <v>1</v>
      </c>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row>
    <row r="278" spans="1:209" s="26" customFormat="1" ht="94.5">
      <c r="A278" s="8" t="s">
        <v>20</v>
      </c>
      <c r="B278" s="29" t="s">
        <v>195</v>
      </c>
      <c r="C278" s="8" t="s">
        <v>793</v>
      </c>
      <c r="D278" s="8" t="s">
        <v>805</v>
      </c>
      <c r="E278" s="8" t="s">
        <v>806</v>
      </c>
      <c r="F278" s="8"/>
      <c r="G278" s="8" t="s">
        <v>71</v>
      </c>
      <c r="H278" s="8" t="s">
        <v>807</v>
      </c>
      <c r="I278" s="8" t="s">
        <v>135</v>
      </c>
      <c r="J278" s="8"/>
      <c r="K278" s="8"/>
      <c r="L278" s="8"/>
      <c r="M278" s="8"/>
      <c r="N278" s="8"/>
      <c r="O278" s="8"/>
      <c r="P278" s="8"/>
      <c r="Q278" s="157"/>
      <c r="R278" s="8"/>
      <c r="S278" s="8"/>
      <c r="T278" s="8"/>
      <c r="U278" s="8"/>
      <c r="V278" s="8"/>
      <c r="W278" s="8"/>
      <c r="X278" s="8"/>
      <c r="Y278" s="8"/>
      <c r="Z278" s="8"/>
      <c r="AA278" s="8"/>
      <c r="AB278" s="8"/>
      <c r="AC278" s="314" t="str">
        <f t="shared" si="71"/>
        <v>yes</v>
      </c>
      <c r="AD278" s="314">
        <f>COUNTA(first:Last!R278)</f>
        <v>1</v>
      </c>
      <c r="AE278" s="157">
        <f>SUM(first:Last!Z278)</f>
        <v>0</v>
      </c>
      <c r="AF278" s="157" t="str">
        <f t="shared" si="72"/>
        <v>no</v>
      </c>
      <c r="AG278" s="157">
        <f>COUNTA(Last:end!M278)</f>
        <v>0</v>
      </c>
      <c r="AH278" s="520">
        <f>COUNTA(Last:end!M278)/6</f>
        <v>0</v>
      </c>
      <c r="AI278" s="157">
        <f>SUM(Last:end!O278)</f>
        <v>0</v>
      </c>
      <c r="AJ278" s="157">
        <f>MIN(Last:end!L278)</f>
        <v>0</v>
      </c>
      <c r="AK278" s="157" t="e">
        <f>IF(AND(AJ278&lt;=2023,#REF!="high interest / inadequate offer "),"yes","no")</f>
        <v>#REF!</v>
      </c>
      <c r="AL278" s="157" t="str">
        <f t="shared" si="70"/>
        <v>no</v>
      </c>
      <c r="AM278" s="157"/>
      <c r="AN278" s="157"/>
      <c r="AO278" s="157"/>
      <c r="AP278" s="157">
        <v>1</v>
      </c>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row>
    <row r="279" spans="1:209" s="26" customFormat="1" ht="62.25" customHeight="1">
      <c r="A279" s="8" t="s">
        <v>20</v>
      </c>
      <c r="B279" s="29" t="s">
        <v>195</v>
      </c>
      <c r="C279" s="8" t="s">
        <v>808</v>
      </c>
      <c r="D279" s="8" t="s">
        <v>809</v>
      </c>
      <c r="E279" s="8" t="s">
        <v>810</v>
      </c>
      <c r="F279" s="8"/>
      <c r="G279" s="8" t="s">
        <v>62</v>
      </c>
      <c r="H279" s="8" t="s">
        <v>811</v>
      </c>
      <c r="I279" s="9">
        <v>1</v>
      </c>
      <c r="J279" s="8"/>
      <c r="K279" s="8"/>
      <c r="L279" s="8"/>
      <c r="M279" s="8"/>
      <c r="N279" s="8"/>
      <c r="O279" s="8"/>
      <c r="P279" s="8"/>
      <c r="Q279" s="157"/>
      <c r="R279" s="8"/>
      <c r="S279" s="8"/>
      <c r="T279" s="8"/>
      <c r="U279" s="8"/>
      <c r="V279" s="8"/>
      <c r="W279" s="8"/>
      <c r="X279" s="8"/>
      <c r="Y279" s="8"/>
      <c r="Z279" s="8"/>
      <c r="AA279" s="8"/>
      <c r="AB279" s="157"/>
      <c r="AC279" s="314" t="str">
        <f t="shared" si="71"/>
        <v>yes</v>
      </c>
      <c r="AD279" s="314">
        <f>COUNTA(first:Last!R279)</f>
        <v>1</v>
      </c>
      <c r="AE279" s="157">
        <f>SUM(first:Last!Z279)</f>
        <v>0</v>
      </c>
      <c r="AF279" s="157" t="str">
        <f t="shared" si="72"/>
        <v>yes</v>
      </c>
      <c r="AG279" s="157">
        <f>COUNTA(Last:end!M279)</f>
        <v>2</v>
      </c>
      <c r="AH279" s="520">
        <f>COUNTA(Last:end!M279)/6</f>
        <v>0.33333333333333331</v>
      </c>
      <c r="AI279" s="157">
        <f>SUM(Last:end!O279)</f>
        <v>3000</v>
      </c>
      <c r="AJ279" s="157">
        <f>MIN(Last:end!L279)</f>
        <v>2023</v>
      </c>
      <c r="AK279" s="157" t="e">
        <f>IF(AND(AJ279&lt;=2023,#REF!="high interest / inadequate offer "),"yes","no")</f>
        <v>#REF!</v>
      </c>
      <c r="AL279" s="157" t="str">
        <f t="shared" si="70"/>
        <v>no</v>
      </c>
      <c r="AM279" s="157"/>
      <c r="AN279" s="157"/>
      <c r="AO279" s="157"/>
      <c r="AP279" s="157">
        <v>1</v>
      </c>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row>
    <row r="280" spans="1:209" s="26" customFormat="1" ht="62.25" customHeight="1">
      <c r="A280" s="8" t="s">
        <v>20</v>
      </c>
      <c r="B280" s="29" t="s">
        <v>195</v>
      </c>
      <c r="C280" s="8" t="s">
        <v>808</v>
      </c>
      <c r="D280" s="8" t="s">
        <v>812</v>
      </c>
      <c r="E280" s="8" t="s">
        <v>813</v>
      </c>
      <c r="F280" s="8"/>
      <c r="G280" s="8" t="s">
        <v>62</v>
      </c>
      <c r="H280" s="8" t="s">
        <v>814</v>
      </c>
      <c r="I280" s="8" t="s">
        <v>210</v>
      </c>
      <c r="J280" s="8"/>
      <c r="K280" s="8"/>
      <c r="L280" s="8"/>
      <c r="M280" s="8"/>
      <c r="N280" s="8"/>
      <c r="O280" s="8"/>
      <c r="P280" s="8"/>
      <c r="Q280" s="157"/>
      <c r="R280" s="8"/>
      <c r="S280" s="8"/>
      <c r="T280" s="8"/>
      <c r="U280" s="8"/>
      <c r="V280" s="8"/>
      <c r="W280" s="8"/>
      <c r="X280" s="8"/>
      <c r="Y280" s="8"/>
      <c r="Z280" s="8"/>
      <c r="AA280" s="8"/>
      <c r="AB280" s="157"/>
      <c r="AC280" s="314" t="str">
        <f t="shared" si="71"/>
        <v>yes</v>
      </c>
      <c r="AD280" s="314">
        <f>COUNTA(first:Last!R280)</f>
        <v>1</v>
      </c>
      <c r="AE280" s="157">
        <f>SUM(first:Last!Z280)</f>
        <v>0</v>
      </c>
      <c r="AF280" s="157" t="str">
        <f t="shared" si="72"/>
        <v>no</v>
      </c>
      <c r="AG280" s="157">
        <f>COUNTA(Last:end!M280)</f>
        <v>0</v>
      </c>
      <c r="AH280" s="520">
        <f>COUNTA(Last:end!M280)/6</f>
        <v>0</v>
      </c>
      <c r="AI280" s="157">
        <f>SUM(Last:end!O280)</f>
        <v>0</v>
      </c>
      <c r="AJ280" s="157">
        <f>MIN(Last:end!L280)</f>
        <v>0</v>
      </c>
      <c r="AK280" s="157" t="e">
        <f>IF(AND(AJ280&lt;=2023,#REF!="high interest / inadequate offer "),"yes","no")</f>
        <v>#REF!</v>
      </c>
      <c r="AL280" s="157" t="str">
        <f t="shared" si="70"/>
        <v>no</v>
      </c>
      <c r="AM280" s="157"/>
      <c r="AN280" s="157"/>
      <c r="AO280" s="157"/>
      <c r="AP280" s="157">
        <v>1</v>
      </c>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row>
    <row r="281" spans="1:209" s="26" customFormat="1" ht="62.25" customHeight="1">
      <c r="A281" s="8" t="s">
        <v>20</v>
      </c>
      <c r="B281" s="29" t="s">
        <v>195</v>
      </c>
      <c r="C281" s="8" t="s">
        <v>815</v>
      </c>
      <c r="D281" s="8" t="s">
        <v>816</v>
      </c>
      <c r="E281" s="8" t="s">
        <v>253</v>
      </c>
      <c r="F281" s="8"/>
      <c r="G281" s="8" t="s">
        <v>62</v>
      </c>
      <c r="H281" s="8" t="s">
        <v>254</v>
      </c>
      <c r="I281" s="9">
        <v>1</v>
      </c>
      <c r="J281" s="8"/>
      <c r="K281" s="8"/>
      <c r="L281" s="8"/>
      <c r="M281" s="8"/>
      <c r="N281" s="8"/>
      <c r="O281" s="8"/>
      <c r="P281" s="8"/>
      <c r="Q281" s="157"/>
      <c r="R281" s="8"/>
      <c r="S281" s="8"/>
      <c r="T281" s="8"/>
      <c r="U281" s="8"/>
      <c r="V281" s="8"/>
      <c r="W281" s="8"/>
      <c r="X281" s="8"/>
      <c r="Y281" s="8"/>
      <c r="Z281" s="8"/>
      <c r="AA281" s="8"/>
      <c r="AB281" s="157"/>
      <c r="AC281" s="314" t="str">
        <f t="shared" si="71"/>
        <v>yes</v>
      </c>
      <c r="AD281" s="314">
        <f>COUNTA(first:Last!R281)</f>
        <v>1</v>
      </c>
      <c r="AE281" s="157">
        <f>SUM(first:Last!Z281)</f>
        <v>0</v>
      </c>
      <c r="AF281" s="157" t="str">
        <f t="shared" si="72"/>
        <v>yes</v>
      </c>
      <c r="AG281" s="157">
        <f>COUNTA(Last:end!M281)</f>
        <v>2</v>
      </c>
      <c r="AH281" s="520">
        <f>COUNTA(Last:end!M281)/6</f>
        <v>0.33333333333333331</v>
      </c>
      <c r="AI281" s="157">
        <f>SUM(Last:end!O281)</f>
        <v>0</v>
      </c>
      <c r="AJ281" s="157">
        <f>MIN(Last:end!L281)</f>
        <v>0</v>
      </c>
      <c r="AK281" s="157" t="e">
        <f>IF(AND(AJ281&lt;=2023,#REF!="high interest / inadequate offer "),"yes","no")</f>
        <v>#REF!</v>
      </c>
      <c r="AL281" s="157" t="str">
        <f t="shared" si="70"/>
        <v>no</v>
      </c>
      <c r="AM281" s="157"/>
      <c r="AN281" s="157"/>
      <c r="AO281" s="157"/>
      <c r="AP281" s="157">
        <v>1</v>
      </c>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row>
    <row r="282" spans="1:209" s="26" customFormat="1" ht="62.25" customHeight="1">
      <c r="A282" s="8" t="s">
        <v>20</v>
      </c>
      <c r="B282" s="29" t="s">
        <v>195</v>
      </c>
      <c r="C282" s="8" t="s">
        <v>815</v>
      </c>
      <c r="D282" s="8" t="s">
        <v>817</v>
      </c>
      <c r="E282" s="8" t="s">
        <v>818</v>
      </c>
      <c r="F282" s="8"/>
      <c r="G282" s="20" t="s">
        <v>62</v>
      </c>
      <c r="H282" s="20"/>
      <c r="I282" s="22"/>
      <c r="J282" s="20"/>
      <c r="K282" s="20"/>
      <c r="L282" s="20"/>
      <c r="M282" s="20"/>
      <c r="N282" s="20"/>
      <c r="O282" s="20"/>
      <c r="P282" s="20"/>
      <c r="Q282" s="157"/>
      <c r="R282" s="20"/>
      <c r="S282" s="20"/>
      <c r="T282" s="20"/>
      <c r="U282" s="20"/>
      <c r="V282" s="20"/>
      <c r="W282" s="20"/>
      <c r="X282" s="20"/>
      <c r="Y282" s="20"/>
      <c r="Z282" s="20"/>
      <c r="AA282" s="20"/>
      <c r="AB282" s="157"/>
      <c r="AC282" s="65"/>
      <c r="AD282" s="65"/>
      <c r="AE282" s="65"/>
      <c r="AF282" s="65"/>
      <c r="AG282" s="20">
        <f>COUNTA(Last:end!M282)</f>
        <v>0</v>
      </c>
      <c r="AH282" s="22">
        <f>COUNTA(Last:end!M282)/6</f>
        <v>0</v>
      </c>
      <c r="AI282" s="65"/>
      <c r="AJ282" s="20">
        <f>MIN(Last:end!L282)</f>
        <v>0</v>
      </c>
      <c r="AK282" s="20" t="e">
        <f>IF(AND(AJ282&lt;=2023,#REF!="high interest / inadequate offer "),"yes","no")</f>
        <v>#REF!</v>
      </c>
      <c r="AL282" s="20" t="str">
        <f t="shared" si="70"/>
        <v>no</v>
      </c>
      <c r="AM282" s="157"/>
      <c r="AN282" s="157"/>
      <c r="AO282" s="157"/>
      <c r="AP282" s="157">
        <v>0</v>
      </c>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row>
    <row r="283" spans="1:209" s="26" customFormat="1" ht="62.25" customHeight="1">
      <c r="A283" s="8" t="s">
        <v>20</v>
      </c>
      <c r="B283" s="29" t="s">
        <v>195</v>
      </c>
      <c r="C283" s="8" t="s">
        <v>815</v>
      </c>
      <c r="D283" s="8" t="s">
        <v>819</v>
      </c>
      <c r="E283" s="69" t="s">
        <v>820</v>
      </c>
      <c r="F283" s="8"/>
      <c r="G283" s="8" t="s">
        <v>62</v>
      </c>
      <c r="H283" s="8" t="s">
        <v>821</v>
      </c>
      <c r="I283" s="9">
        <v>1</v>
      </c>
      <c r="J283" s="8"/>
      <c r="K283" s="8"/>
      <c r="L283" s="8"/>
      <c r="M283" s="8"/>
      <c r="N283" s="8"/>
      <c r="O283" s="8"/>
      <c r="P283" s="8"/>
      <c r="Q283" s="157"/>
      <c r="R283" s="8"/>
      <c r="S283" s="8"/>
      <c r="T283" s="8"/>
      <c r="U283" s="8"/>
      <c r="V283" s="8"/>
      <c r="W283" s="8"/>
      <c r="X283" s="8"/>
      <c r="Y283" s="8"/>
      <c r="Z283" s="8"/>
      <c r="AA283" s="8"/>
      <c r="AB283" s="157"/>
      <c r="AC283" s="314" t="str">
        <f t="shared" ref="AC283:AC297" si="73">IF(AD283&gt;0,"yes", "no")</f>
        <v>yes</v>
      </c>
      <c r="AD283" s="314">
        <f>COUNTA(first:Last!R283)</f>
        <v>1</v>
      </c>
      <c r="AE283" s="157">
        <f>SUM(first:Last!Z283)</f>
        <v>0</v>
      </c>
      <c r="AF283" s="157" t="str">
        <f t="shared" ref="AF283:AF297" si="74">IF(AH283&gt;0,"yes", "no")</f>
        <v>yes</v>
      </c>
      <c r="AG283" s="157">
        <f>COUNTA(Last:end!M283)</f>
        <v>1</v>
      </c>
      <c r="AH283" s="520">
        <f>COUNTA(Last:end!M283)/6</f>
        <v>0.16666666666666666</v>
      </c>
      <c r="AI283" s="157">
        <f>SUM(Last:end!O283)</f>
        <v>0</v>
      </c>
      <c r="AJ283" s="157">
        <f>MIN(Last:end!L283)</f>
        <v>2023</v>
      </c>
      <c r="AK283" s="157" t="e">
        <f>IF(AND(AJ283&lt;=2023,#REF!="high interest / inadequate offer "),"yes","no")</f>
        <v>#REF!</v>
      </c>
      <c r="AL283" s="157" t="str">
        <f t="shared" si="70"/>
        <v>no</v>
      </c>
      <c r="AM283" s="157"/>
      <c r="AN283" s="157"/>
      <c r="AO283" s="157"/>
      <c r="AP283" s="157">
        <v>1</v>
      </c>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row>
    <row r="284" spans="1:209" s="26" customFormat="1" ht="62.25" customHeight="1">
      <c r="A284" s="8" t="s">
        <v>20</v>
      </c>
      <c r="B284" s="29" t="s">
        <v>195</v>
      </c>
      <c r="C284" s="8" t="s">
        <v>815</v>
      </c>
      <c r="D284" s="8" t="s">
        <v>822</v>
      </c>
      <c r="E284" s="69" t="s">
        <v>823</v>
      </c>
      <c r="F284" s="8"/>
      <c r="G284" s="8" t="s">
        <v>62</v>
      </c>
      <c r="H284" s="8" t="s">
        <v>824</v>
      </c>
      <c r="I284" s="9">
        <v>1</v>
      </c>
      <c r="J284" s="8"/>
      <c r="K284" s="8"/>
      <c r="L284" s="8"/>
      <c r="M284" s="8"/>
      <c r="N284" s="8"/>
      <c r="O284" s="8"/>
      <c r="P284" s="8"/>
      <c r="Q284" s="157"/>
      <c r="R284" s="8"/>
      <c r="S284" s="8"/>
      <c r="T284" s="8"/>
      <c r="U284" s="8"/>
      <c r="V284" s="8"/>
      <c r="W284" s="8"/>
      <c r="X284" s="8"/>
      <c r="Y284" s="8"/>
      <c r="Z284" s="8"/>
      <c r="AA284" s="8"/>
      <c r="AB284" s="157"/>
      <c r="AC284" s="314" t="str">
        <f t="shared" si="73"/>
        <v>yes</v>
      </c>
      <c r="AD284" s="314">
        <f>COUNTA(first:Last!R284)</f>
        <v>1</v>
      </c>
      <c r="AE284" s="157">
        <f>SUM(first:Last!Z284)</f>
        <v>0</v>
      </c>
      <c r="AF284" s="157" t="str">
        <f t="shared" si="74"/>
        <v>yes</v>
      </c>
      <c r="AG284" s="157">
        <f>COUNTA(Last:end!M284)</f>
        <v>1</v>
      </c>
      <c r="AH284" s="520">
        <f>COUNTA(Last:end!M284)/6</f>
        <v>0.16666666666666666</v>
      </c>
      <c r="AI284" s="157">
        <f>SUM(Last:end!O284)</f>
        <v>0</v>
      </c>
      <c r="AJ284" s="157">
        <f>MIN(Last:end!L284)</f>
        <v>2023</v>
      </c>
      <c r="AK284" s="157" t="e">
        <f>IF(AND(AJ284&lt;=2023,#REF!="high interest / inadequate offer "),"yes","no")</f>
        <v>#REF!</v>
      </c>
      <c r="AL284" s="157" t="str">
        <f t="shared" si="70"/>
        <v>no</v>
      </c>
      <c r="AM284" s="157"/>
      <c r="AN284" s="157"/>
      <c r="AO284" s="157"/>
      <c r="AP284" s="157">
        <v>1</v>
      </c>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row>
    <row r="285" spans="1:209" s="26" customFormat="1" ht="62.25" customHeight="1">
      <c r="A285" s="8" t="s">
        <v>20</v>
      </c>
      <c r="B285" s="29" t="s">
        <v>195</v>
      </c>
      <c r="C285" s="8" t="s">
        <v>815</v>
      </c>
      <c r="D285" s="8" t="s">
        <v>825</v>
      </c>
      <c r="E285" s="8" t="s">
        <v>826</v>
      </c>
      <c r="F285" s="8"/>
      <c r="G285" s="8" t="s">
        <v>62</v>
      </c>
      <c r="H285" s="8" t="s">
        <v>827</v>
      </c>
      <c r="I285" s="9">
        <v>1</v>
      </c>
      <c r="J285" s="8"/>
      <c r="K285" s="8"/>
      <c r="L285" s="8"/>
      <c r="M285" s="8"/>
      <c r="N285" s="8"/>
      <c r="O285" s="8"/>
      <c r="P285" s="8"/>
      <c r="Q285" s="157"/>
      <c r="R285" s="8"/>
      <c r="S285" s="8"/>
      <c r="T285" s="8"/>
      <c r="U285" s="8"/>
      <c r="V285" s="8"/>
      <c r="W285" s="8"/>
      <c r="X285" s="8"/>
      <c r="Y285" s="8"/>
      <c r="Z285" s="8"/>
      <c r="AA285" s="8"/>
      <c r="AB285" s="157"/>
      <c r="AC285" s="314" t="str">
        <f t="shared" si="73"/>
        <v>yes</v>
      </c>
      <c r="AD285" s="314">
        <f>COUNTA(first:Last!R285)</f>
        <v>1</v>
      </c>
      <c r="AE285" s="157">
        <f>SUM(first:Last!Z285)</f>
        <v>0</v>
      </c>
      <c r="AF285" s="157" t="str">
        <f t="shared" si="74"/>
        <v>yes</v>
      </c>
      <c r="AG285" s="157">
        <f>COUNTA(Last:end!M285)</f>
        <v>1</v>
      </c>
      <c r="AH285" s="520">
        <f>COUNTA(Last:end!M285)/6</f>
        <v>0.16666666666666666</v>
      </c>
      <c r="AI285" s="157">
        <f>SUM(Last:end!O285)</f>
        <v>15000</v>
      </c>
      <c r="AJ285" s="157">
        <f>MIN(Last:end!L285)</f>
        <v>0</v>
      </c>
      <c r="AK285" s="157" t="e">
        <f>IF(AND(AJ285&lt;=2023,#REF!="high interest / inadequate offer "),"yes","no")</f>
        <v>#REF!</v>
      </c>
      <c r="AL285" s="157" t="str">
        <f t="shared" si="70"/>
        <v>no</v>
      </c>
      <c r="AM285" s="157"/>
      <c r="AN285" s="157"/>
      <c r="AO285" s="157"/>
      <c r="AP285" s="157">
        <v>1</v>
      </c>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row>
    <row r="286" spans="1:209" s="26" customFormat="1" ht="62.25" customHeight="1">
      <c r="A286" s="8" t="s">
        <v>20</v>
      </c>
      <c r="B286" s="29" t="s">
        <v>195</v>
      </c>
      <c r="C286" s="8" t="s">
        <v>815</v>
      </c>
      <c r="D286" s="8" t="s">
        <v>828</v>
      </c>
      <c r="E286" s="8" t="s">
        <v>829</v>
      </c>
      <c r="F286" s="8"/>
      <c r="G286" s="8" t="s">
        <v>62</v>
      </c>
      <c r="H286" s="8" t="s">
        <v>830</v>
      </c>
      <c r="I286" s="8" t="s">
        <v>831</v>
      </c>
      <c r="J286" s="8"/>
      <c r="K286" s="8"/>
      <c r="L286" s="8"/>
      <c r="M286" s="8"/>
      <c r="N286" s="8"/>
      <c r="O286" s="8"/>
      <c r="P286" s="8"/>
      <c r="Q286" s="157"/>
      <c r="R286" s="8"/>
      <c r="S286" s="8"/>
      <c r="T286" s="8"/>
      <c r="U286" s="8"/>
      <c r="V286" s="8"/>
      <c r="W286" s="8"/>
      <c r="X286" s="8"/>
      <c r="Y286" s="8"/>
      <c r="Z286" s="8"/>
      <c r="AA286" s="8"/>
      <c r="AB286" s="157"/>
      <c r="AC286" s="314" t="str">
        <f t="shared" si="73"/>
        <v>yes</v>
      </c>
      <c r="AD286" s="314">
        <f>COUNTA(first:Last!R286)</f>
        <v>1</v>
      </c>
      <c r="AE286" s="157">
        <f>SUM(first:Last!Z286)</f>
        <v>0</v>
      </c>
      <c r="AF286" s="157" t="str">
        <f t="shared" si="74"/>
        <v>yes</v>
      </c>
      <c r="AG286" s="157">
        <f>COUNTA(Last:end!M286)</f>
        <v>1</v>
      </c>
      <c r="AH286" s="520">
        <f>COUNTA(Last:end!M286)/6</f>
        <v>0.16666666666666666</v>
      </c>
      <c r="AI286" s="157">
        <f>SUM(Last:end!O286)</f>
        <v>2000</v>
      </c>
      <c r="AJ286" s="157">
        <f>MIN(Last:end!L286)</f>
        <v>0</v>
      </c>
      <c r="AK286" s="157" t="e">
        <f>IF(AND(AJ286&lt;=2023,#REF!="high interest / inadequate offer "),"yes","no")</f>
        <v>#REF!</v>
      </c>
      <c r="AL286" s="157" t="str">
        <f t="shared" si="70"/>
        <v>no</v>
      </c>
      <c r="AM286" s="157"/>
      <c r="AN286" s="157"/>
      <c r="AO286" s="157"/>
      <c r="AP286" s="157">
        <v>1</v>
      </c>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row>
    <row r="287" spans="1:209" s="26" customFormat="1" ht="62.25" customHeight="1">
      <c r="A287" s="8" t="s">
        <v>20</v>
      </c>
      <c r="B287" s="29" t="s">
        <v>195</v>
      </c>
      <c r="C287" s="8" t="s">
        <v>815</v>
      </c>
      <c r="D287" s="8" t="s">
        <v>832</v>
      </c>
      <c r="E287" s="8" t="s">
        <v>833</v>
      </c>
      <c r="F287" s="8"/>
      <c r="G287" s="8" t="s">
        <v>62</v>
      </c>
      <c r="H287" s="8" t="s">
        <v>834</v>
      </c>
      <c r="I287" s="9">
        <v>0.8</v>
      </c>
      <c r="J287" s="8"/>
      <c r="K287" s="8"/>
      <c r="L287" s="8"/>
      <c r="M287" s="8"/>
      <c r="N287" s="8"/>
      <c r="O287" s="8"/>
      <c r="P287" s="8"/>
      <c r="Q287" s="157"/>
      <c r="R287" s="8"/>
      <c r="S287" s="8"/>
      <c r="T287" s="8"/>
      <c r="U287" s="8"/>
      <c r="V287" s="8"/>
      <c r="W287" s="8"/>
      <c r="X287" s="8"/>
      <c r="Y287" s="8"/>
      <c r="Z287" s="8"/>
      <c r="AA287" s="8"/>
      <c r="AB287" s="157"/>
      <c r="AC287" s="314" t="str">
        <f t="shared" si="73"/>
        <v>yes</v>
      </c>
      <c r="AD287" s="314">
        <f>COUNTA(first:Last!R287)</f>
        <v>1</v>
      </c>
      <c r="AE287" s="157">
        <f>SUM(first:Last!Z287)</f>
        <v>0</v>
      </c>
      <c r="AF287" s="157" t="str">
        <f t="shared" si="74"/>
        <v>yes</v>
      </c>
      <c r="AG287" s="157">
        <f>COUNTA(Last:end!M287)</f>
        <v>3</v>
      </c>
      <c r="AH287" s="520">
        <f>COUNTA(Last:end!M287)/6</f>
        <v>0.5</v>
      </c>
      <c r="AI287" s="157">
        <f>SUM(Last:end!O287)</f>
        <v>0</v>
      </c>
      <c r="AJ287" s="157">
        <f>MIN(Last:end!L287)</f>
        <v>2023</v>
      </c>
      <c r="AK287" s="157" t="e">
        <f>IF(AND(AJ287&lt;=2023,#REF!="high interest / inadequate offer "),"yes","no")</f>
        <v>#REF!</v>
      </c>
      <c r="AL287" s="157" t="str">
        <f t="shared" si="70"/>
        <v>no</v>
      </c>
      <c r="AM287" s="157"/>
      <c r="AN287" s="157"/>
      <c r="AO287" s="157"/>
      <c r="AP287" s="157">
        <v>1</v>
      </c>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row>
    <row r="288" spans="1:209" s="26" customFormat="1" ht="62.25" customHeight="1">
      <c r="A288" s="8" t="s">
        <v>20</v>
      </c>
      <c r="B288" s="29" t="s">
        <v>195</v>
      </c>
      <c r="C288" s="8" t="s">
        <v>835</v>
      </c>
      <c r="D288" s="8" t="s">
        <v>836</v>
      </c>
      <c r="E288" s="8" t="s">
        <v>837</v>
      </c>
      <c r="F288" s="8"/>
      <c r="G288" s="8" t="s">
        <v>62</v>
      </c>
      <c r="H288" s="8" t="s">
        <v>783</v>
      </c>
      <c r="I288" s="9">
        <v>0.5</v>
      </c>
      <c r="J288" s="8"/>
      <c r="K288" s="8"/>
      <c r="L288" s="8"/>
      <c r="M288" s="8"/>
      <c r="N288" s="8"/>
      <c r="O288" s="8"/>
      <c r="P288" s="8"/>
      <c r="Q288" s="157"/>
      <c r="R288" s="8"/>
      <c r="S288" s="8"/>
      <c r="T288" s="8"/>
      <c r="U288" s="8"/>
      <c r="V288" s="8"/>
      <c r="W288" s="8"/>
      <c r="X288" s="8"/>
      <c r="Y288" s="8"/>
      <c r="Z288" s="8"/>
      <c r="AA288" s="8"/>
      <c r="AB288" s="157"/>
      <c r="AC288" s="314" t="str">
        <f t="shared" si="73"/>
        <v>no</v>
      </c>
      <c r="AD288" s="314">
        <f>COUNTA(first:Last!R288)</f>
        <v>0</v>
      </c>
      <c r="AE288" s="157">
        <f>SUM(first:Last!Z288)</f>
        <v>0</v>
      </c>
      <c r="AF288" s="157" t="str">
        <f t="shared" si="74"/>
        <v>yes</v>
      </c>
      <c r="AG288" s="157">
        <f>COUNTA(Last:end!M288)</f>
        <v>1</v>
      </c>
      <c r="AH288" s="520">
        <f>COUNTA(Last:end!M288)/6</f>
        <v>0.16666666666666666</v>
      </c>
      <c r="AI288" s="157">
        <f>SUM(Last:end!O288)</f>
        <v>0</v>
      </c>
      <c r="AJ288" s="157">
        <f>MIN(Last:end!L288)</f>
        <v>0</v>
      </c>
      <c r="AK288" s="157" t="e">
        <f>IF(AND(AJ288&lt;=2023,#REF!="high interest / inadequate offer "),"yes","no")</f>
        <v>#REF!</v>
      </c>
      <c r="AL288" s="157" t="str">
        <f t="shared" si="70"/>
        <v>no</v>
      </c>
      <c r="AM288" s="157"/>
      <c r="AN288" s="157"/>
      <c r="AO288" s="157"/>
      <c r="AP288" s="157">
        <v>1</v>
      </c>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row>
    <row r="289" spans="1:209" ht="62.25" customHeight="1">
      <c r="A289" s="8" t="s">
        <v>20</v>
      </c>
      <c r="B289" s="29" t="s">
        <v>195</v>
      </c>
      <c r="C289" s="8" t="s">
        <v>835</v>
      </c>
      <c r="D289" s="8" t="s">
        <v>838</v>
      </c>
      <c r="E289" s="8" t="s">
        <v>839</v>
      </c>
      <c r="F289" s="8"/>
      <c r="G289" s="8" t="s">
        <v>62</v>
      </c>
      <c r="H289" s="8" t="s">
        <v>259</v>
      </c>
      <c r="I289" s="8" t="s">
        <v>210</v>
      </c>
      <c r="J289" s="8"/>
      <c r="K289" s="8"/>
      <c r="L289" s="8"/>
      <c r="M289" s="8"/>
      <c r="N289" s="8"/>
      <c r="O289" s="8"/>
      <c r="P289" s="8"/>
      <c r="Q289" s="157"/>
      <c r="R289" s="8"/>
      <c r="S289" s="8"/>
      <c r="T289" s="8"/>
      <c r="U289" s="8"/>
      <c r="V289" s="8"/>
      <c r="W289" s="8"/>
      <c r="X289" s="8"/>
      <c r="Y289" s="8"/>
      <c r="Z289" s="8"/>
      <c r="AA289" s="8"/>
      <c r="AB289" s="157"/>
      <c r="AC289" s="314" t="str">
        <f t="shared" si="73"/>
        <v>no</v>
      </c>
      <c r="AD289" s="314">
        <f>COUNTA(first:Last!R289)</f>
        <v>0</v>
      </c>
      <c r="AE289" s="157">
        <f>SUM(first:Last!Z289)</f>
        <v>0</v>
      </c>
      <c r="AF289" s="157" t="str">
        <f t="shared" si="74"/>
        <v>yes</v>
      </c>
      <c r="AG289" s="157">
        <f>COUNTA(Last:end!M289)</f>
        <v>1</v>
      </c>
      <c r="AH289" s="520">
        <f>COUNTA(Last:end!M289)/6</f>
        <v>0.16666666666666666</v>
      </c>
      <c r="AI289" s="157">
        <f>SUM(Last:end!O289)</f>
        <v>3000</v>
      </c>
      <c r="AJ289" s="157">
        <f>MIN(Last:end!L289)</f>
        <v>0</v>
      </c>
      <c r="AK289" s="157" t="e">
        <f>IF(AND(AJ289&lt;=2023,#REF!="high interest / inadequate offer "),"yes","no")</f>
        <v>#REF!</v>
      </c>
      <c r="AL289" s="157" t="str">
        <f t="shared" si="70"/>
        <v>no</v>
      </c>
      <c r="AM289" s="157"/>
      <c r="AN289" s="157"/>
      <c r="AO289" s="157"/>
      <c r="AP289" s="157">
        <v>1</v>
      </c>
    </row>
    <row r="290" spans="1:209" ht="62.25" customHeight="1">
      <c r="A290" s="8" t="s">
        <v>20</v>
      </c>
      <c r="B290" s="29" t="s">
        <v>195</v>
      </c>
      <c r="C290" s="8" t="s">
        <v>835</v>
      </c>
      <c r="D290" s="8" t="s">
        <v>840</v>
      </c>
      <c r="E290" s="8" t="s">
        <v>841</v>
      </c>
      <c r="F290" s="8"/>
      <c r="G290" s="8" t="s">
        <v>62</v>
      </c>
      <c r="H290" s="8" t="s">
        <v>842</v>
      </c>
      <c r="I290" s="8" t="s">
        <v>210</v>
      </c>
      <c r="J290" s="8"/>
      <c r="K290" s="8"/>
      <c r="L290" s="8"/>
      <c r="M290" s="8"/>
      <c r="N290" s="8"/>
      <c r="O290" s="8"/>
      <c r="P290" s="8"/>
      <c r="Q290" s="157"/>
      <c r="R290" s="8"/>
      <c r="S290" s="8"/>
      <c r="T290" s="8"/>
      <c r="U290" s="8"/>
      <c r="V290" s="8"/>
      <c r="W290" s="8"/>
      <c r="X290" s="8"/>
      <c r="Y290" s="8"/>
      <c r="Z290" s="8"/>
      <c r="AA290" s="8"/>
      <c r="AB290" s="157"/>
      <c r="AC290" s="314" t="str">
        <f t="shared" si="73"/>
        <v>yes</v>
      </c>
      <c r="AD290" s="314">
        <f>COUNTA(first:Last!R290)</f>
        <v>1</v>
      </c>
      <c r="AE290" s="157">
        <f>SUM(first:Last!Z290)</f>
        <v>0</v>
      </c>
      <c r="AF290" s="157" t="str">
        <f t="shared" si="74"/>
        <v>yes</v>
      </c>
      <c r="AG290" s="157">
        <f>COUNTA(Last:end!M290)</f>
        <v>2</v>
      </c>
      <c r="AH290" s="520">
        <f>COUNTA(Last:end!M290)/6</f>
        <v>0.33333333333333331</v>
      </c>
      <c r="AI290" s="157">
        <f>SUM(Last:end!O290)</f>
        <v>0</v>
      </c>
      <c r="AJ290" s="157">
        <f>MIN(Last:end!L290)</f>
        <v>2022</v>
      </c>
      <c r="AK290" s="157" t="e">
        <f>IF(AND(AJ290&lt;=2023,#REF!="high interest / inadequate offer "),"yes","no")</f>
        <v>#REF!</v>
      </c>
      <c r="AL290" s="157" t="str">
        <f t="shared" si="70"/>
        <v>no</v>
      </c>
      <c r="AM290" s="157"/>
      <c r="AN290" s="157"/>
      <c r="AO290" s="157"/>
      <c r="AP290" s="157">
        <v>1</v>
      </c>
    </row>
    <row r="291" spans="1:209" ht="62.25" customHeight="1">
      <c r="A291" s="8" t="s">
        <v>20</v>
      </c>
      <c r="B291" s="29" t="s">
        <v>195</v>
      </c>
      <c r="C291" s="8" t="s">
        <v>835</v>
      </c>
      <c r="D291" s="8" t="s">
        <v>843</v>
      </c>
      <c r="E291" s="8" t="s">
        <v>844</v>
      </c>
      <c r="F291" s="8"/>
      <c r="G291" s="8" t="s">
        <v>62</v>
      </c>
      <c r="H291" s="8" t="s">
        <v>845</v>
      </c>
      <c r="I291" s="8" t="s">
        <v>846</v>
      </c>
      <c r="J291" s="8"/>
      <c r="K291" s="8"/>
      <c r="L291" s="8"/>
      <c r="M291" s="8"/>
      <c r="N291" s="8"/>
      <c r="O291" s="8"/>
      <c r="P291" s="8"/>
      <c r="Q291" s="157"/>
      <c r="R291" s="8"/>
      <c r="S291" s="8"/>
      <c r="T291" s="8"/>
      <c r="U291" s="8"/>
      <c r="V291" s="8"/>
      <c r="W291" s="8"/>
      <c r="X291" s="8"/>
      <c r="Y291" s="8"/>
      <c r="Z291" s="8"/>
      <c r="AA291" s="8"/>
      <c r="AB291" s="157"/>
      <c r="AC291" s="314" t="str">
        <f t="shared" si="73"/>
        <v>no</v>
      </c>
      <c r="AD291" s="314">
        <f>COUNTA(first:Last!R291)</f>
        <v>0</v>
      </c>
      <c r="AE291" s="157">
        <f>SUM(first:Last!Z291)</f>
        <v>0</v>
      </c>
      <c r="AF291" s="157" t="str">
        <f t="shared" si="74"/>
        <v>yes</v>
      </c>
      <c r="AG291" s="157">
        <f>COUNTA(Last:end!M291)</f>
        <v>2</v>
      </c>
      <c r="AH291" s="520">
        <f>COUNTA(Last:end!M291)/6</f>
        <v>0.33333333333333331</v>
      </c>
      <c r="AI291" s="157">
        <f>SUM(Last:end!O291)</f>
        <v>0</v>
      </c>
      <c r="AJ291" s="157">
        <f>MIN(Last:end!L291)</f>
        <v>2023</v>
      </c>
      <c r="AK291" s="157" t="e">
        <f>IF(AND(AJ291&lt;=2023,#REF!="high interest / inadequate offer "),"yes","no")</f>
        <v>#REF!</v>
      </c>
      <c r="AL291" s="157" t="str">
        <f t="shared" si="70"/>
        <v>no</v>
      </c>
      <c r="AM291" s="157"/>
      <c r="AN291" s="157"/>
      <c r="AO291" s="157"/>
      <c r="AP291" s="157">
        <v>1</v>
      </c>
    </row>
    <row r="292" spans="1:209" ht="62.25" customHeight="1">
      <c r="A292" s="8" t="s">
        <v>20</v>
      </c>
      <c r="B292" s="29" t="s">
        <v>195</v>
      </c>
      <c r="C292" s="8" t="s">
        <v>835</v>
      </c>
      <c r="D292" s="8" t="s">
        <v>847</v>
      </c>
      <c r="E292" s="8" t="s">
        <v>848</v>
      </c>
      <c r="F292" s="8"/>
      <c r="G292" s="8" t="s">
        <v>62</v>
      </c>
      <c r="H292" s="8" t="s">
        <v>849</v>
      </c>
      <c r="I292" s="8" t="s">
        <v>135</v>
      </c>
      <c r="J292" s="8"/>
      <c r="K292" s="8"/>
      <c r="L292" s="8"/>
      <c r="M292" s="8"/>
      <c r="N292" s="8"/>
      <c r="O292" s="8"/>
      <c r="P292" s="8"/>
      <c r="Q292" s="157"/>
      <c r="R292" s="8"/>
      <c r="S292" s="8"/>
      <c r="T292" s="8"/>
      <c r="U292" s="8"/>
      <c r="V292" s="8"/>
      <c r="W292" s="8"/>
      <c r="X292" s="8"/>
      <c r="Y292" s="8"/>
      <c r="Z292" s="8"/>
      <c r="AA292" s="8"/>
      <c r="AB292" s="157"/>
      <c r="AC292" s="314" t="str">
        <f t="shared" si="73"/>
        <v>no</v>
      </c>
      <c r="AD292" s="314">
        <f>COUNTA(first:Last!R292)</f>
        <v>0</v>
      </c>
      <c r="AE292" s="157">
        <f>SUM(first:Last!Z292)</f>
        <v>0</v>
      </c>
      <c r="AF292" s="157" t="str">
        <f t="shared" si="74"/>
        <v>yes</v>
      </c>
      <c r="AG292" s="157">
        <f>COUNTA(Last:end!M292)</f>
        <v>1</v>
      </c>
      <c r="AH292" s="520">
        <f>COUNTA(Last:end!M292)/6</f>
        <v>0.16666666666666666</v>
      </c>
      <c r="AI292" s="157">
        <f>SUM(Last:end!O292)</f>
        <v>0</v>
      </c>
      <c r="AJ292" s="157">
        <f>MIN(Last:end!L292)</f>
        <v>2022</v>
      </c>
      <c r="AK292" s="157" t="e">
        <f>IF(AND(AJ292&lt;=2023,#REF!="high interest / inadequate offer "),"yes","no")</f>
        <v>#REF!</v>
      </c>
      <c r="AL292" s="157" t="str">
        <f t="shared" si="70"/>
        <v>no</v>
      </c>
      <c r="AM292" s="157"/>
      <c r="AN292" s="157"/>
      <c r="AO292" s="157"/>
      <c r="AP292" s="157">
        <v>1</v>
      </c>
    </row>
    <row r="293" spans="1:209" ht="62.25" customHeight="1">
      <c r="A293" s="8" t="s">
        <v>20</v>
      </c>
      <c r="B293" s="29" t="s">
        <v>274</v>
      </c>
      <c r="C293" s="8" t="s">
        <v>850</v>
      </c>
      <c r="D293" s="8" t="s">
        <v>851</v>
      </c>
      <c r="E293" s="8" t="s">
        <v>852</v>
      </c>
      <c r="F293" s="8"/>
      <c r="G293" s="8" t="s">
        <v>62</v>
      </c>
      <c r="H293" s="8" t="s">
        <v>853</v>
      </c>
      <c r="I293" s="8" t="s">
        <v>697</v>
      </c>
      <c r="J293" s="8"/>
      <c r="K293" s="8"/>
      <c r="L293" s="8"/>
      <c r="M293" s="8"/>
      <c r="N293" s="8"/>
      <c r="O293" s="8"/>
      <c r="P293" s="8"/>
      <c r="Q293" s="157"/>
      <c r="R293" s="8"/>
      <c r="S293" s="8"/>
      <c r="T293" s="8"/>
      <c r="U293" s="8"/>
      <c r="V293" s="8"/>
      <c r="W293" s="8"/>
      <c r="X293" s="8"/>
      <c r="Y293" s="8"/>
      <c r="Z293" s="8"/>
      <c r="AA293" s="8"/>
      <c r="AB293" s="157"/>
      <c r="AC293" s="314" t="str">
        <f t="shared" si="73"/>
        <v>yes</v>
      </c>
      <c r="AD293" s="314">
        <f>COUNTA(first:Last!R293)</f>
        <v>1</v>
      </c>
      <c r="AE293" s="157">
        <f>SUM(first:Last!Z293)</f>
        <v>0</v>
      </c>
      <c r="AF293" s="157" t="str">
        <f t="shared" si="74"/>
        <v>no</v>
      </c>
      <c r="AG293" s="157">
        <f>COUNTA(Last:end!M293)</f>
        <v>0</v>
      </c>
      <c r="AH293" s="520">
        <f>COUNTA(Last:end!M293)/6</f>
        <v>0</v>
      </c>
      <c r="AI293" s="157">
        <f>SUM(Last:end!O293)</f>
        <v>0</v>
      </c>
      <c r="AJ293" s="157">
        <f>MIN(Last:end!L293)</f>
        <v>0</v>
      </c>
      <c r="AK293" s="157" t="e">
        <f>IF(AND(AJ293&lt;=2023,#REF!="high interest / inadequate offer "),"yes","no")</f>
        <v>#REF!</v>
      </c>
      <c r="AL293" s="157" t="str">
        <f t="shared" si="70"/>
        <v>no</v>
      </c>
      <c r="AM293" s="157"/>
      <c r="AN293" s="157"/>
      <c r="AO293" s="157"/>
      <c r="AP293" s="157">
        <v>1</v>
      </c>
    </row>
    <row r="294" spans="1:209" ht="62.25" customHeight="1">
      <c r="A294" s="8" t="s">
        <v>20</v>
      </c>
      <c r="B294" s="29" t="s">
        <v>274</v>
      </c>
      <c r="C294" s="8" t="s">
        <v>850</v>
      </c>
      <c r="D294" s="8" t="s">
        <v>854</v>
      </c>
      <c r="E294" s="8" t="s">
        <v>855</v>
      </c>
      <c r="F294" s="8"/>
      <c r="G294" s="8" t="s">
        <v>62</v>
      </c>
      <c r="H294" s="8" t="s">
        <v>856</v>
      </c>
      <c r="I294" s="8" t="s">
        <v>701</v>
      </c>
      <c r="J294" s="8"/>
      <c r="K294" s="8"/>
      <c r="L294" s="8"/>
      <c r="M294" s="8"/>
      <c r="N294" s="8"/>
      <c r="O294" s="8"/>
      <c r="P294" s="8"/>
      <c r="Q294" s="157"/>
      <c r="R294" s="8"/>
      <c r="S294" s="8"/>
      <c r="T294" s="8"/>
      <c r="U294" s="8"/>
      <c r="V294" s="8"/>
      <c r="W294" s="8"/>
      <c r="X294" s="8"/>
      <c r="Y294" s="8"/>
      <c r="Z294" s="8"/>
      <c r="AA294" s="8"/>
      <c r="AB294" s="157"/>
      <c r="AC294" s="314" t="str">
        <f t="shared" si="73"/>
        <v>yes</v>
      </c>
      <c r="AD294" s="314">
        <f>COUNTA(first:Last!R294)</f>
        <v>1</v>
      </c>
      <c r="AE294" s="157">
        <f>SUM(first:Last!Z294)</f>
        <v>0</v>
      </c>
      <c r="AF294" s="157" t="str">
        <f t="shared" si="74"/>
        <v>no</v>
      </c>
      <c r="AG294" s="157">
        <f>COUNTA(Last:end!M294)</f>
        <v>0</v>
      </c>
      <c r="AH294" s="520">
        <f>COUNTA(Last:end!M294)/6</f>
        <v>0</v>
      </c>
      <c r="AI294" s="157">
        <f>SUM(Last:end!O294)</f>
        <v>15000</v>
      </c>
      <c r="AJ294" s="157">
        <f>MIN(Last:end!L294)</f>
        <v>0</v>
      </c>
      <c r="AK294" s="157" t="e">
        <f>IF(AND(AJ294&lt;=2023,#REF!="high interest / inadequate offer "),"yes","no")</f>
        <v>#REF!</v>
      </c>
      <c r="AL294" s="157" t="str">
        <f t="shared" si="70"/>
        <v>no</v>
      </c>
      <c r="AM294" s="157"/>
      <c r="AN294" s="157"/>
      <c r="AO294" s="157"/>
      <c r="AP294" s="157">
        <v>1</v>
      </c>
    </row>
    <row r="295" spans="1:209" ht="62.25" customHeight="1">
      <c r="A295" s="8" t="s">
        <v>20</v>
      </c>
      <c r="B295" s="29" t="s">
        <v>274</v>
      </c>
      <c r="C295" s="8" t="s">
        <v>850</v>
      </c>
      <c r="D295" s="8" t="s">
        <v>857</v>
      </c>
      <c r="E295" s="8" t="s">
        <v>858</v>
      </c>
      <c r="F295" s="8"/>
      <c r="G295" s="8" t="s">
        <v>62</v>
      </c>
      <c r="H295" s="8" t="s">
        <v>859</v>
      </c>
      <c r="I295" s="9">
        <v>0.5</v>
      </c>
      <c r="J295" s="8"/>
      <c r="K295" s="8"/>
      <c r="L295" s="8"/>
      <c r="M295" s="8"/>
      <c r="N295" s="8"/>
      <c r="O295" s="8"/>
      <c r="P295" s="8"/>
      <c r="Q295" s="157"/>
      <c r="R295" s="8"/>
      <c r="S295" s="8"/>
      <c r="T295" s="8"/>
      <c r="U295" s="8"/>
      <c r="V295" s="8"/>
      <c r="W295" s="8"/>
      <c r="X295" s="8"/>
      <c r="Y295" s="8"/>
      <c r="Z295" s="8"/>
      <c r="AA295" s="8"/>
      <c r="AB295" s="157"/>
      <c r="AC295" s="314" t="str">
        <f t="shared" si="73"/>
        <v>no</v>
      </c>
      <c r="AD295" s="314">
        <f>COUNTA(first:Last!R295)</f>
        <v>0</v>
      </c>
      <c r="AE295" s="157">
        <f>SUM(first:Last!Z295)</f>
        <v>0</v>
      </c>
      <c r="AF295" s="157" t="str">
        <f t="shared" si="74"/>
        <v>yes</v>
      </c>
      <c r="AG295" s="157">
        <f>COUNTA(Last:end!M295)</f>
        <v>1</v>
      </c>
      <c r="AH295" s="520">
        <f>COUNTA(Last:end!M295)/6</f>
        <v>0.16666666666666666</v>
      </c>
      <c r="AI295" s="157">
        <f>SUM(Last:end!O295)</f>
        <v>0</v>
      </c>
      <c r="AJ295" s="157">
        <f>MIN(Last:end!L295)</f>
        <v>0</v>
      </c>
      <c r="AK295" s="157" t="e">
        <f>IF(AND(AJ295&lt;=2023,#REF!="high interest / inadequate offer "),"yes","no")</f>
        <v>#REF!</v>
      </c>
      <c r="AL295" s="157" t="str">
        <f t="shared" si="70"/>
        <v>no</v>
      </c>
      <c r="AM295" s="157"/>
      <c r="AN295" s="157"/>
      <c r="AO295" s="157"/>
      <c r="AP295" s="157">
        <v>1</v>
      </c>
    </row>
    <row r="296" spans="1:209" ht="62.25" customHeight="1">
      <c r="A296" s="8" t="s">
        <v>20</v>
      </c>
      <c r="B296" s="29" t="s">
        <v>274</v>
      </c>
      <c r="C296" s="8" t="s">
        <v>850</v>
      </c>
      <c r="D296" s="8" t="s">
        <v>860</v>
      </c>
      <c r="E296" s="8" t="s">
        <v>861</v>
      </c>
      <c r="F296" s="8"/>
      <c r="G296" s="8" t="s">
        <v>62</v>
      </c>
      <c r="H296" s="8" t="s">
        <v>862</v>
      </c>
      <c r="I296" s="9">
        <v>0.5</v>
      </c>
      <c r="J296" s="8"/>
      <c r="K296" s="8"/>
      <c r="L296" s="8"/>
      <c r="M296" s="8"/>
      <c r="N296" s="8"/>
      <c r="O296" s="8"/>
      <c r="P296" s="8"/>
      <c r="Q296" s="157"/>
      <c r="R296" s="8"/>
      <c r="S296" s="8"/>
      <c r="T296" s="8"/>
      <c r="U296" s="8"/>
      <c r="V296" s="8"/>
      <c r="W296" s="8"/>
      <c r="X296" s="8"/>
      <c r="Y296" s="8"/>
      <c r="Z296" s="8"/>
      <c r="AA296" s="8"/>
      <c r="AB296" s="157"/>
      <c r="AC296" s="314" t="str">
        <f t="shared" si="73"/>
        <v>yes</v>
      </c>
      <c r="AD296" s="314">
        <f>COUNTA(first:Last!R296)</f>
        <v>2</v>
      </c>
      <c r="AE296" s="157">
        <f>SUM(first:Last!Z296)</f>
        <v>0</v>
      </c>
      <c r="AF296" s="157" t="str">
        <f t="shared" si="74"/>
        <v>yes</v>
      </c>
      <c r="AG296" s="157">
        <f>COUNTA(Last:end!M296)</f>
        <v>2</v>
      </c>
      <c r="AH296" s="520">
        <f>COUNTA(Last:end!M296)/6</f>
        <v>0.33333333333333331</v>
      </c>
      <c r="AI296" s="157">
        <f>SUM(Last:end!O296)</f>
        <v>2000</v>
      </c>
      <c r="AJ296" s="157">
        <f>MIN(Last:end!L296)</f>
        <v>2022</v>
      </c>
      <c r="AK296" s="157" t="e">
        <f>IF(AND(AJ296&lt;=2023,#REF!="high interest / inadequate offer "),"yes","no")</f>
        <v>#REF!</v>
      </c>
      <c r="AL296" s="157" t="str">
        <f t="shared" si="70"/>
        <v>yes</v>
      </c>
      <c r="AM296" s="157"/>
      <c r="AN296" s="157"/>
      <c r="AO296" s="157"/>
      <c r="AP296" s="157">
        <v>1</v>
      </c>
    </row>
    <row r="297" spans="1:209" ht="62.25" customHeight="1">
      <c r="A297" s="8" t="s">
        <v>20</v>
      </c>
      <c r="B297" s="29" t="s">
        <v>274</v>
      </c>
      <c r="C297" s="8" t="s">
        <v>850</v>
      </c>
      <c r="D297" s="8" t="s">
        <v>863</v>
      </c>
      <c r="E297" s="8" t="s">
        <v>864</v>
      </c>
      <c r="F297" s="8"/>
      <c r="G297" s="8" t="s">
        <v>62</v>
      </c>
      <c r="H297" s="8" t="s">
        <v>865</v>
      </c>
      <c r="I297" s="9">
        <v>0.5</v>
      </c>
      <c r="J297" s="8"/>
      <c r="K297" s="8"/>
      <c r="L297" s="8"/>
      <c r="M297" s="8"/>
      <c r="N297" s="8"/>
      <c r="O297" s="8"/>
      <c r="P297" s="8"/>
      <c r="Q297" s="157"/>
      <c r="R297" s="8"/>
      <c r="S297" s="8"/>
      <c r="T297" s="8"/>
      <c r="U297" s="8"/>
      <c r="V297" s="8"/>
      <c r="W297" s="8"/>
      <c r="X297" s="8"/>
      <c r="Y297" s="8"/>
      <c r="Z297" s="8"/>
      <c r="AA297" s="8"/>
      <c r="AB297" s="157"/>
      <c r="AC297" s="314" t="str">
        <f t="shared" si="73"/>
        <v>no</v>
      </c>
      <c r="AD297" s="314">
        <f>COUNTA(first:Last!R297)</f>
        <v>0</v>
      </c>
      <c r="AE297" s="157">
        <f>SUM(first:Last!Z297)</f>
        <v>0</v>
      </c>
      <c r="AF297" s="157" t="str">
        <f t="shared" si="74"/>
        <v>yes</v>
      </c>
      <c r="AG297" s="157">
        <f>COUNTA(Last:end!M297)</f>
        <v>2</v>
      </c>
      <c r="AH297" s="520">
        <f>COUNTA(Last:end!M297)/6</f>
        <v>0.33333333333333331</v>
      </c>
      <c r="AI297" s="157">
        <f>SUM(Last:end!O297)</f>
        <v>0</v>
      </c>
      <c r="AJ297" s="157">
        <f>MIN(Last:end!L297)</f>
        <v>2022</v>
      </c>
      <c r="AK297" s="157" t="e">
        <f>IF(AND(AJ297&lt;=2023,#REF!="high interest / inadequate offer "),"yes","no")</f>
        <v>#REF!</v>
      </c>
      <c r="AL297" s="157" t="str">
        <f t="shared" si="70"/>
        <v>no</v>
      </c>
      <c r="AM297" s="157"/>
      <c r="AN297" s="157"/>
      <c r="AO297" s="157"/>
      <c r="AP297" s="157">
        <v>1</v>
      </c>
    </row>
    <row r="298" spans="1:209" s="5" customFormat="1" ht="78.75">
      <c r="A298" s="20" t="s">
        <v>20</v>
      </c>
      <c r="B298" s="30" t="s">
        <v>274</v>
      </c>
      <c r="C298" s="19" t="s">
        <v>866</v>
      </c>
      <c r="D298" s="19" t="s">
        <v>582</v>
      </c>
      <c r="E298" s="19" t="s">
        <v>582</v>
      </c>
      <c r="F298" s="19" t="s">
        <v>582</v>
      </c>
      <c r="G298" s="19" t="s">
        <v>582</v>
      </c>
      <c r="H298" s="19" t="s">
        <v>582</v>
      </c>
      <c r="I298" s="19" t="s">
        <v>582</v>
      </c>
      <c r="J298" s="19" t="s">
        <v>582</v>
      </c>
      <c r="K298" s="19" t="s">
        <v>582</v>
      </c>
      <c r="L298" s="19" t="s">
        <v>582</v>
      </c>
      <c r="M298" s="19" t="s">
        <v>582</v>
      </c>
      <c r="N298" s="20"/>
      <c r="O298" s="20"/>
      <c r="P298" s="20"/>
      <c r="Q298" s="157"/>
      <c r="R298" s="20"/>
      <c r="S298" s="20"/>
      <c r="T298" s="20"/>
      <c r="U298" s="20"/>
      <c r="V298" s="20"/>
      <c r="W298" s="20"/>
      <c r="X298" s="20"/>
      <c r="Y298" s="20"/>
      <c r="Z298" s="20"/>
      <c r="AA298" s="20"/>
      <c r="AB298" s="20"/>
      <c r="AC298" s="157"/>
      <c r="AD298" s="157"/>
      <c r="AE298" s="157"/>
      <c r="AF298" s="157"/>
      <c r="AG298" s="157"/>
      <c r="AH298" s="157"/>
      <c r="AI298" s="157"/>
      <c r="AJ298" s="157"/>
      <c r="AK298" s="157"/>
      <c r="AL298" s="157"/>
      <c r="AM298" s="157"/>
      <c r="AN298" s="157"/>
      <c r="AO298" s="157"/>
      <c r="AP298" s="157">
        <v>0</v>
      </c>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row>
    <row r="299" spans="1:209" s="5" customFormat="1" ht="47.25">
      <c r="A299" s="20" t="s">
        <v>20</v>
      </c>
      <c r="B299" s="30" t="s">
        <v>274</v>
      </c>
      <c r="C299" s="19" t="s">
        <v>867</v>
      </c>
      <c r="D299" s="19" t="s">
        <v>582</v>
      </c>
      <c r="E299" s="19" t="s">
        <v>582</v>
      </c>
      <c r="F299" s="19" t="s">
        <v>582</v>
      </c>
      <c r="G299" s="19" t="s">
        <v>582</v>
      </c>
      <c r="H299" s="19" t="s">
        <v>582</v>
      </c>
      <c r="I299" s="19" t="s">
        <v>582</v>
      </c>
      <c r="J299" s="19" t="s">
        <v>582</v>
      </c>
      <c r="K299" s="19" t="s">
        <v>582</v>
      </c>
      <c r="L299" s="19" t="s">
        <v>582</v>
      </c>
      <c r="M299" s="19" t="s">
        <v>582</v>
      </c>
      <c r="N299" s="20"/>
      <c r="O299" s="20"/>
      <c r="P299" s="20"/>
      <c r="Q299" s="157"/>
      <c r="R299" s="20"/>
      <c r="S299" s="20"/>
      <c r="T299" s="20"/>
      <c r="U299" s="20"/>
      <c r="V299" s="20"/>
      <c r="W299" s="20"/>
      <c r="X299" s="20"/>
      <c r="Y299" s="20"/>
      <c r="Z299" s="20"/>
      <c r="AA299" s="20"/>
      <c r="AB299" s="20"/>
      <c r="AC299" s="157"/>
      <c r="AD299" s="157"/>
      <c r="AE299" s="157"/>
      <c r="AF299" s="157"/>
      <c r="AG299" s="157"/>
      <c r="AH299" s="157"/>
      <c r="AI299" s="157"/>
      <c r="AJ299" s="157"/>
      <c r="AK299" s="157"/>
      <c r="AL299" s="157"/>
      <c r="AM299" s="157"/>
      <c r="AN299" s="157"/>
      <c r="AO299" s="157"/>
      <c r="AP299" s="157">
        <v>0</v>
      </c>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row>
    <row r="300" spans="1:209" ht="62.25" customHeight="1">
      <c r="A300" s="8" t="s">
        <v>20</v>
      </c>
      <c r="B300" s="29" t="s">
        <v>274</v>
      </c>
      <c r="C300" s="8" t="s">
        <v>868</v>
      </c>
      <c r="D300" s="8" t="s">
        <v>869</v>
      </c>
      <c r="E300" s="8" t="s">
        <v>870</v>
      </c>
      <c r="F300" s="8"/>
      <c r="G300" s="8" t="s">
        <v>62</v>
      </c>
      <c r="H300" s="8" t="s">
        <v>871</v>
      </c>
      <c r="I300" s="8" t="s">
        <v>210</v>
      </c>
      <c r="J300" s="8"/>
      <c r="K300" s="8"/>
      <c r="L300" s="8"/>
      <c r="M300" s="8"/>
      <c r="N300" s="8"/>
      <c r="O300" s="8"/>
      <c r="P300" s="8"/>
      <c r="Q300" s="157"/>
      <c r="R300" s="8"/>
      <c r="S300" s="8"/>
      <c r="T300" s="8"/>
      <c r="U300" s="8"/>
      <c r="V300" s="8"/>
      <c r="W300" s="8"/>
      <c r="X300" s="8"/>
      <c r="Y300" s="8"/>
      <c r="Z300" s="8"/>
      <c r="AA300" s="8"/>
      <c r="AB300" s="157"/>
      <c r="AC300" s="314" t="str">
        <f t="shared" ref="AC300:AC301" si="75">IF(AD300&gt;0,"yes", "no")</f>
        <v>no</v>
      </c>
      <c r="AD300" s="314">
        <f>COUNTA(first:Last!R300)</f>
        <v>0</v>
      </c>
      <c r="AE300" s="157">
        <f>SUM(first:Last!Z300)</f>
        <v>0</v>
      </c>
      <c r="AF300" s="157" t="str">
        <f t="shared" ref="AF300:AF301" si="76">IF(AH300&gt;0,"yes", "no")</f>
        <v>yes</v>
      </c>
      <c r="AG300" s="157">
        <f>COUNTA(Last:end!M300)</f>
        <v>1</v>
      </c>
      <c r="AH300" s="520">
        <f>COUNTA(Last:end!M300)/6</f>
        <v>0.16666666666666666</v>
      </c>
      <c r="AI300" s="157">
        <f>SUM(Last:end!O300)</f>
        <v>0</v>
      </c>
      <c r="AJ300" s="157">
        <f>MIN(Last:end!L300)</f>
        <v>2023</v>
      </c>
      <c r="AK300" s="157" t="e">
        <f>IF(AND(AJ300&lt;=2023,#REF!="high interest / inadequate offer "),"yes","no")</f>
        <v>#REF!</v>
      </c>
      <c r="AL300" s="157" t="str">
        <f t="shared" ref="AL300:AL318" si="77">IF(AD300&gt;1,"yes", "no")</f>
        <v>no</v>
      </c>
      <c r="AM300" s="157"/>
      <c r="AN300" s="157"/>
      <c r="AO300" s="157"/>
      <c r="AP300" s="157">
        <v>1</v>
      </c>
    </row>
    <row r="301" spans="1:209" ht="62.25" customHeight="1">
      <c r="A301" s="8" t="s">
        <v>20</v>
      </c>
      <c r="B301" s="29" t="s">
        <v>274</v>
      </c>
      <c r="C301" s="8" t="s">
        <v>868</v>
      </c>
      <c r="D301" s="8" t="s">
        <v>872</v>
      </c>
      <c r="E301" s="8" t="s">
        <v>873</v>
      </c>
      <c r="F301" s="8"/>
      <c r="G301" s="8" t="s">
        <v>62</v>
      </c>
      <c r="H301" s="8" t="s">
        <v>874</v>
      </c>
      <c r="I301" s="8" t="s">
        <v>875</v>
      </c>
      <c r="J301" s="8"/>
      <c r="K301" s="8"/>
      <c r="L301" s="8"/>
      <c r="M301" s="8"/>
      <c r="N301" s="8"/>
      <c r="O301" s="8"/>
      <c r="P301" s="8"/>
      <c r="Q301" s="157"/>
      <c r="R301" s="8"/>
      <c r="S301" s="8"/>
      <c r="T301" s="8"/>
      <c r="U301" s="8"/>
      <c r="V301" s="8"/>
      <c r="W301" s="8"/>
      <c r="X301" s="8"/>
      <c r="Y301" s="8"/>
      <c r="Z301" s="8"/>
      <c r="AA301" s="8"/>
      <c r="AB301" s="157"/>
      <c r="AC301" s="314" t="str">
        <f t="shared" si="75"/>
        <v>no</v>
      </c>
      <c r="AD301" s="314">
        <f>COUNTA(first:Last!R301)</f>
        <v>0</v>
      </c>
      <c r="AE301" s="157">
        <f>SUM(first:Last!Z301)</f>
        <v>0</v>
      </c>
      <c r="AF301" s="157" t="str">
        <f t="shared" si="76"/>
        <v>yes</v>
      </c>
      <c r="AG301" s="157">
        <f>COUNTA(Last:end!M301)</f>
        <v>2</v>
      </c>
      <c r="AH301" s="520">
        <f>COUNTA(Last:end!M301)/6</f>
        <v>0.33333333333333331</v>
      </c>
      <c r="AI301" s="157">
        <f>SUM(Last:end!O301)</f>
        <v>0</v>
      </c>
      <c r="AJ301" s="157">
        <f>MIN(Last:end!L301)</f>
        <v>2023</v>
      </c>
      <c r="AK301" s="157" t="e">
        <f>IF(AND(AJ301&lt;=2023,#REF!="high interest / inadequate offer "),"yes","no")</f>
        <v>#REF!</v>
      </c>
      <c r="AL301" s="157" t="str">
        <f t="shared" si="77"/>
        <v>no</v>
      </c>
      <c r="AM301" s="157"/>
      <c r="AN301" s="157"/>
      <c r="AO301" s="157"/>
      <c r="AP301" s="157">
        <v>1</v>
      </c>
    </row>
    <row r="302" spans="1:209" ht="62.25" customHeight="1">
      <c r="A302" s="8" t="s">
        <v>20</v>
      </c>
      <c r="B302" s="29" t="s">
        <v>274</v>
      </c>
      <c r="C302" s="8" t="s">
        <v>876</v>
      </c>
      <c r="D302" s="8" t="s">
        <v>877</v>
      </c>
      <c r="E302" s="8" t="s">
        <v>878</v>
      </c>
      <c r="F302" s="8"/>
      <c r="G302" s="20" t="s">
        <v>62</v>
      </c>
      <c r="H302" s="20"/>
      <c r="I302" s="22">
        <v>1</v>
      </c>
      <c r="J302" s="20"/>
      <c r="K302" s="20"/>
      <c r="L302" s="20"/>
      <c r="M302" s="20"/>
      <c r="N302" s="20"/>
      <c r="O302" s="20"/>
      <c r="P302" s="8"/>
      <c r="Q302" s="157"/>
      <c r="R302" s="20"/>
      <c r="S302" s="20"/>
      <c r="T302" s="20"/>
      <c r="U302" s="20"/>
      <c r="V302" s="20"/>
      <c r="W302" s="20"/>
      <c r="X302" s="20"/>
      <c r="Y302" s="20"/>
      <c r="Z302" s="20"/>
      <c r="AA302" s="20"/>
      <c r="AB302" s="157"/>
      <c r="AC302" s="65"/>
      <c r="AD302" s="65"/>
      <c r="AE302" s="65"/>
      <c r="AF302" s="65"/>
      <c r="AG302" s="157">
        <f>COUNTA(Last:end!M302)</f>
        <v>0</v>
      </c>
      <c r="AH302" s="520">
        <f>COUNTA(Last:end!M302)/6</f>
        <v>0</v>
      </c>
      <c r="AI302" s="65"/>
      <c r="AJ302" s="157">
        <f>MIN(Last:end!L302)</f>
        <v>0</v>
      </c>
      <c r="AK302" s="157" t="e">
        <f>IF(AND(AJ302&lt;=2023,#REF!="high interest / inadequate offer "),"yes","no")</f>
        <v>#REF!</v>
      </c>
      <c r="AL302" s="157" t="str">
        <f t="shared" si="77"/>
        <v>no</v>
      </c>
      <c r="AM302" s="157"/>
      <c r="AN302" s="157"/>
      <c r="AO302" s="157"/>
      <c r="AP302" s="157">
        <v>0</v>
      </c>
    </row>
    <row r="303" spans="1:209" ht="62.25" customHeight="1">
      <c r="A303" s="8" t="s">
        <v>20</v>
      </c>
      <c r="B303" s="29" t="s">
        <v>587</v>
      </c>
      <c r="C303" s="8" t="s">
        <v>876</v>
      </c>
      <c r="D303" s="8" t="s">
        <v>879</v>
      </c>
      <c r="E303" s="69" t="s">
        <v>880</v>
      </c>
      <c r="F303" s="8"/>
      <c r="G303" s="8" t="s">
        <v>62</v>
      </c>
      <c r="H303" s="8" t="s">
        <v>591</v>
      </c>
      <c r="I303" s="9">
        <v>1</v>
      </c>
      <c r="J303" s="8"/>
      <c r="K303" s="8"/>
      <c r="L303" s="8"/>
      <c r="M303" s="8"/>
      <c r="N303" s="8"/>
      <c r="O303" s="8"/>
      <c r="P303" s="8"/>
      <c r="Q303" s="157"/>
      <c r="R303" s="8"/>
      <c r="S303" s="8"/>
      <c r="T303" s="8"/>
      <c r="U303" s="8"/>
      <c r="V303" s="8"/>
      <c r="W303" s="8"/>
      <c r="X303" s="8"/>
      <c r="Y303" s="8"/>
      <c r="Z303" s="8"/>
      <c r="AA303" s="8"/>
      <c r="AB303" s="157"/>
      <c r="AC303" s="314" t="str">
        <f t="shared" ref="AC303:AC318" si="78">IF(AD303&gt;0,"yes", "no")</f>
        <v>yes</v>
      </c>
      <c r="AD303" s="314">
        <f>COUNTA(first:Last!R303)</f>
        <v>1</v>
      </c>
      <c r="AE303" s="157">
        <f>SUM(first:Last!Z303)</f>
        <v>0</v>
      </c>
      <c r="AF303" s="157" t="str">
        <f t="shared" ref="AF303:AF318" si="79">IF(AH303&gt;0,"yes", "no")</f>
        <v>yes</v>
      </c>
      <c r="AG303" s="157">
        <f>COUNTA(Last:end!M303)</f>
        <v>2</v>
      </c>
      <c r="AH303" s="520">
        <f>COUNTA(Last:end!M303)/6</f>
        <v>0.33333333333333331</v>
      </c>
      <c r="AI303" s="157">
        <f>SUM(Last:end!O303)</f>
        <v>0</v>
      </c>
      <c r="AJ303" s="157">
        <f>MIN(Last:end!L303)</f>
        <v>2022</v>
      </c>
      <c r="AK303" s="157" t="e">
        <f>IF(AND(AJ303&lt;=2023,#REF!="high interest / inadequate offer "),"yes","no")</f>
        <v>#REF!</v>
      </c>
      <c r="AL303" s="157" t="str">
        <f t="shared" si="77"/>
        <v>no</v>
      </c>
      <c r="AM303" s="157"/>
      <c r="AN303" s="157"/>
      <c r="AO303" s="157"/>
      <c r="AP303" s="157">
        <v>1</v>
      </c>
    </row>
    <row r="304" spans="1:209" ht="62.25" customHeight="1">
      <c r="A304" s="8" t="s">
        <v>20</v>
      </c>
      <c r="B304" s="29" t="s">
        <v>587</v>
      </c>
      <c r="C304" s="8" t="s">
        <v>876</v>
      </c>
      <c r="D304" s="8" t="s">
        <v>881</v>
      </c>
      <c r="E304" s="69" t="s">
        <v>882</v>
      </c>
      <c r="F304" s="8"/>
      <c r="G304" s="8" t="s">
        <v>62</v>
      </c>
      <c r="H304" s="8" t="s">
        <v>591</v>
      </c>
      <c r="I304" s="9">
        <v>2</v>
      </c>
      <c r="J304" s="8"/>
      <c r="K304" s="8"/>
      <c r="L304" s="8"/>
      <c r="M304" s="8"/>
      <c r="N304" s="8"/>
      <c r="O304" s="8"/>
      <c r="P304" s="8"/>
      <c r="Q304" s="157"/>
      <c r="R304" s="8"/>
      <c r="S304" s="8"/>
      <c r="T304" s="8"/>
      <c r="U304" s="8"/>
      <c r="V304" s="8"/>
      <c r="W304" s="8"/>
      <c r="X304" s="8"/>
      <c r="Y304" s="8"/>
      <c r="Z304" s="8"/>
      <c r="AA304" s="8"/>
      <c r="AB304" s="157"/>
      <c r="AC304" s="314" t="str">
        <f t="shared" si="78"/>
        <v>yes</v>
      </c>
      <c r="AD304" s="314">
        <f>COUNTA(first:Last!R304)</f>
        <v>1</v>
      </c>
      <c r="AE304" s="157">
        <f>SUM(first:Last!Z304)</f>
        <v>0</v>
      </c>
      <c r="AF304" s="157" t="str">
        <f t="shared" si="79"/>
        <v>yes</v>
      </c>
      <c r="AG304" s="157">
        <f>COUNTA(Last:end!M304)</f>
        <v>2</v>
      </c>
      <c r="AH304" s="520">
        <f>COUNTA(Last:end!M304)/6</f>
        <v>0.33333333333333331</v>
      </c>
      <c r="AI304" s="157">
        <f>SUM(Last:end!O304)</f>
        <v>0</v>
      </c>
      <c r="AJ304" s="157">
        <f>MIN(Last:end!L304)</f>
        <v>2023</v>
      </c>
      <c r="AK304" s="157" t="e">
        <f>IF(AND(AJ304&lt;=2023,#REF!="high interest / inadequate offer "),"yes","no")</f>
        <v>#REF!</v>
      </c>
      <c r="AL304" s="157" t="str">
        <f t="shared" si="77"/>
        <v>no</v>
      </c>
      <c r="AM304" s="157"/>
      <c r="AN304" s="157"/>
      <c r="AO304" s="157"/>
      <c r="AP304" s="157">
        <v>1</v>
      </c>
    </row>
    <row r="305" spans="1:209" s="26" customFormat="1" ht="62.25" customHeight="1">
      <c r="A305" s="8" t="s">
        <v>20</v>
      </c>
      <c r="B305" s="29" t="s">
        <v>587</v>
      </c>
      <c r="C305" s="8" t="s">
        <v>876</v>
      </c>
      <c r="D305" s="8" t="s">
        <v>883</v>
      </c>
      <c r="E305" s="69" t="s">
        <v>884</v>
      </c>
      <c r="F305" s="8"/>
      <c r="G305" s="8" t="s">
        <v>62</v>
      </c>
      <c r="H305" s="8" t="s">
        <v>591</v>
      </c>
      <c r="I305" s="9">
        <v>3</v>
      </c>
      <c r="J305" s="8"/>
      <c r="K305" s="8"/>
      <c r="L305" s="8"/>
      <c r="M305" s="8"/>
      <c r="N305" s="8"/>
      <c r="O305" s="8"/>
      <c r="P305" s="8"/>
      <c r="Q305" s="157"/>
      <c r="R305" s="8"/>
      <c r="S305" s="8"/>
      <c r="T305" s="8"/>
      <c r="U305" s="8"/>
      <c r="V305" s="8"/>
      <c r="W305" s="8"/>
      <c r="X305" s="8"/>
      <c r="Y305" s="8"/>
      <c r="Z305" s="8"/>
      <c r="AA305" s="8"/>
      <c r="AB305" s="157"/>
      <c r="AC305" s="314" t="str">
        <f t="shared" si="78"/>
        <v>yes</v>
      </c>
      <c r="AD305" s="314">
        <f>COUNTA(first:Last!R305)</f>
        <v>1</v>
      </c>
      <c r="AE305" s="157">
        <f>SUM(first:Last!Z305)</f>
        <v>0</v>
      </c>
      <c r="AF305" s="157" t="str">
        <f t="shared" si="79"/>
        <v>yes</v>
      </c>
      <c r="AG305" s="157">
        <f>COUNTA(Last:end!M305)</f>
        <v>2</v>
      </c>
      <c r="AH305" s="520">
        <f>COUNTA(Last:end!M305)/6</f>
        <v>0.33333333333333331</v>
      </c>
      <c r="AI305" s="157">
        <f>SUM(Last:end!O305)</f>
        <v>0</v>
      </c>
      <c r="AJ305" s="157">
        <f>MIN(Last:end!L305)</f>
        <v>2023</v>
      </c>
      <c r="AK305" s="157" t="e">
        <f>IF(AND(AJ305&lt;=2023,#REF!="high interest / inadequate offer "),"yes","no")</f>
        <v>#REF!</v>
      </c>
      <c r="AL305" s="157" t="str">
        <f t="shared" si="77"/>
        <v>no</v>
      </c>
      <c r="AM305" s="157"/>
      <c r="AN305" s="157"/>
      <c r="AO305" s="157"/>
      <c r="AP305" s="157">
        <v>1</v>
      </c>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row>
    <row r="306" spans="1:209" s="26" customFormat="1" ht="62.25" customHeight="1">
      <c r="A306" s="8" t="s">
        <v>20</v>
      </c>
      <c r="B306" s="29" t="s">
        <v>587</v>
      </c>
      <c r="C306" s="8" t="s">
        <v>876</v>
      </c>
      <c r="D306" s="8" t="s">
        <v>885</v>
      </c>
      <c r="E306" s="69" t="s">
        <v>886</v>
      </c>
      <c r="F306" s="8"/>
      <c r="G306" s="8" t="s">
        <v>62</v>
      </c>
      <c r="H306" s="8" t="s">
        <v>591</v>
      </c>
      <c r="I306" s="9">
        <v>4</v>
      </c>
      <c r="J306" s="8"/>
      <c r="K306" s="8"/>
      <c r="L306" s="8"/>
      <c r="M306" s="8"/>
      <c r="N306" s="8"/>
      <c r="O306" s="8"/>
      <c r="P306" s="8"/>
      <c r="Q306" s="157"/>
      <c r="R306" s="8"/>
      <c r="S306" s="8"/>
      <c r="T306" s="8"/>
      <c r="U306" s="8"/>
      <c r="V306" s="8"/>
      <c r="W306" s="8"/>
      <c r="X306" s="8"/>
      <c r="Y306" s="8"/>
      <c r="Z306" s="8"/>
      <c r="AA306" s="8"/>
      <c r="AB306" s="157"/>
      <c r="AC306" s="314" t="str">
        <f t="shared" si="78"/>
        <v>yes</v>
      </c>
      <c r="AD306" s="314">
        <f>COUNTA(first:Last!R306)</f>
        <v>1</v>
      </c>
      <c r="AE306" s="157">
        <f>SUM(first:Last!Z306)</f>
        <v>0</v>
      </c>
      <c r="AF306" s="157" t="str">
        <f t="shared" si="79"/>
        <v>yes</v>
      </c>
      <c r="AG306" s="157">
        <f>COUNTA(Last:end!M306)</f>
        <v>2</v>
      </c>
      <c r="AH306" s="520">
        <f>COUNTA(Last:end!M306)/6</f>
        <v>0.33333333333333331</v>
      </c>
      <c r="AI306" s="157">
        <f>SUM(Last:end!O306)</f>
        <v>0</v>
      </c>
      <c r="AJ306" s="157">
        <f>MIN(Last:end!L306)</f>
        <v>2023</v>
      </c>
      <c r="AK306" s="157" t="e">
        <f>IF(AND(AJ306&lt;=2023,#REF!="high interest / inadequate offer "),"yes","no")</f>
        <v>#REF!</v>
      </c>
      <c r="AL306" s="157" t="str">
        <f t="shared" si="77"/>
        <v>no</v>
      </c>
      <c r="AM306" s="157"/>
      <c r="AN306" s="157"/>
      <c r="AO306" s="157"/>
      <c r="AP306" s="157">
        <v>1</v>
      </c>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row>
    <row r="307" spans="1:209" s="26" customFormat="1" ht="62.25" customHeight="1">
      <c r="A307" s="8" t="s">
        <v>20</v>
      </c>
      <c r="B307" s="29" t="s">
        <v>587</v>
      </c>
      <c r="C307" s="8" t="s">
        <v>876</v>
      </c>
      <c r="D307" s="8" t="s">
        <v>887</v>
      </c>
      <c r="E307" s="69" t="s">
        <v>888</v>
      </c>
      <c r="F307" s="8"/>
      <c r="G307" s="8" t="s">
        <v>62</v>
      </c>
      <c r="H307" s="8" t="s">
        <v>591</v>
      </c>
      <c r="I307" s="9">
        <v>5</v>
      </c>
      <c r="J307" s="8"/>
      <c r="K307" s="8"/>
      <c r="L307" s="8"/>
      <c r="M307" s="8"/>
      <c r="N307" s="8"/>
      <c r="O307" s="8"/>
      <c r="P307" s="8"/>
      <c r="Q307" s="157"/>
      <c r="R307" s="8"/>
      <c r="S307" s="8"/>
      <c r="T307" s="8"/>
      <c r="U307" s="8"/>
      <c r="V307" s="8"/>
      <c r="W307" s="8"/>
      <c r="X307" s="8"/>
      <c r="Y307" s="8"/>
      <c r="Z307" s="8"/>
      <c r="AA307" s="8"/>
      <c r="AB307" s="157"/>
      <c r="AC307" s="314" t="str">
        <f t="shared" si="78"/>
        <v>yes</v>
      </c>
      <c r="AD307" s="314">
        <f>COUNTA(first:Last!R307)</f>
        <v>1</v>
      </c>
      <c r="AE307" s="157">
        <f>SUM(first:Last!Z307)</f>
        <v>0</v>
      </c>
      <c r="AF307" s="157" t="str">
        <f t="shared" si="79"/>
        <v>yes</v>
      </c>
      <c r="AG307" s="157">
        <f>COUNTA(Last:end!M307)</f>
        <v>2</v>
      </c>
      <c r="AH307" s="520">
        <f>COUNTA(Last:end!M307)/6</f>
        <v>0.33333333333333331</v>
      </c>
      <c r="AI307" s="157">
        <f>SUM(Last:end!O307)</f>
        <v>0</v>
      </c>
      <c r="AJ307" s="157">
        <f>MIN(Last:end!L307)</f>
        <v>2023</v>
      </c>
      <c r="AK307" s="157" t="e">
        <f>IF(AND(AJ307&lt;=2023,#REF!="high interest / inadequate offer "),"yes","no")</f>
        <v>#REF!</v>
      </c>
      <c r="AL307" s="157" t="str">
        <f t="shared" si="77"/>
        <v>no</v>
      </c>
      <c r="AM307" s="157"/>
      <c r="AN307" s="157"/>
      <c r="AO307" s="157"/>
      <c r="AP307" s="157">
        <v>1</v>
      </c>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row>
    <row r="308" spans="1:209" s="26" customFormat="1" ht="62.25" customHeight="1">
      <c r="A308" s="8" t="s">
        <v>20</v>
      </c>
      <c r="B308" s="29" t="s">
        <v>587</v>
      </c>
      <c r="C308" s="8" t="s">
        <v>876</v>
      </c>
      <c r="D308" s="8" t="s">
        <v>889</v>
      </c>
      <c r="E308" s="8" t="s">
        <v>890</v>
      </c>
      <c r="F308" s="8"/>
      <c r="G308" s="8" t="s">
        <v>58</v>
      </c>
      <c r="H308" s="8" t="s">
        <v>891</v>
      </c>
      <c r="I308" s="9">
        <v>0.5</v>
      </c>
      <c r="J308" s="8"/>
      <c r="K308" s="8"/>
      <c r="L308" s="8"/>
      <c r="M308" s="8"/>
      <c r="N308" s="8"/>
      <c r="O308" s="8"/>
      <c r="P308" s="8"/>
      <c r="Q308" s="157"/>
      <c r="R308" s="8"/>
      <c r="S308" s="8"/>
      <c r="T308" s="8"/>
      <c r="U308" s="8"/>
      <c r="V308" s="8"/>
      <c r="W308" s="8"/>
      <c r="X308" s="8"/>
      <c r="Y308" s="8"/>
      <c r="Z308" s="8"/>
      <c r="AA308" s="8"/>
      <c r="AB308" s="157"/>
      <c r="AC308" s="314" t="str">
        <f t="shared" si="78"/>
        <v>no</v>
      </c>
      <c r="AD308" s="314">
        <f>COUNTA(first:Last!R308)</f>
        <v>0</v>
      </c>
      <c r="AE308" s="157">
        <f>SUM(first:Last!Z308)</f>
        <v>0</v>
      </c>
      <c r="AF308" s="157" t="str">
        <f t="shared" si="79"/>
        <v>yes</v>
      </c>
      <c r="AG308" s="157">
        <f>COUNTA(Last:end!M308)</f>
        <v>1</v>
      </c>
      <c r="AH308" s="520">
        <f>COUNTA(Last:end!M308)/6</f>
        <v>0.16666666666666666</v>
      </c>
      <c r="AI308" s="157">
        <f>SUM(Last:end!O308)</f>
        <v>0</v>
      </c>
      <c r="AJ308" s="157">
        <f>MIN(Last:end!L308)</f>
        <v>0</v>
      </c>
      <c r="AK308" s="157" t="e">
        <f>IF(AND(AJ308&lt;=2023,#REF!="high interest / inadequate offer "),"yes","no")</f>
        <v>#REF!</v>
      </c>
      <c r="AL308" s="157" t="str">
        <f t="shared" si="77"/>
        <v>no</v>
      </c>
      <c r="AM308" s="157"/>
      <c r="AN308" s="157"/>
      <c r="AO308" s="157"/>
      <c r="AP308" s="157">
        <v>1</v>
      </c>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row>
    <row r="309" spans="1:209" s="26" customFormat="1" ht="62.25" customHeight="1">
      <c r="A309" s="8" t="s">
        <v>20</v>
      </c>
      <c r="B309" s="29" t="s">
        <v>587</v>
      </c>
      <c r="C309" s="8" t="s">
        <v>876</v>
      </c>
      <c r="D309" s="8" t="s">
        <v>892</v>
      </c>
      <c r="E309" s="8" t="s">
        <v>893</v>
      </c>
      <c r="F309" s="8"/>
      <c r="G309" s="8" t="s">
        <v>62</v>
      </c>
      <c r="H309" s="8" t="s">
        <v>894</v>
      </c>
      <c r="I309" s="9">
        <v>1</v>
      </c>
      <c r="J309" s="8"/>
      <c r="K309" s="8"/>
      <c r="L309" s="8"/>
      <c r="M309" s="8"/>
      <c r="N309" s="8"/>
      <c r="O309" s="8"/>
      <c r="P309" s="8"/>
      <c r="Q309" s="157"/>
      <c r="R309" s="8"/>
      <c r="S309" s="8"/>
      <c r="T309" s="8"/>
      <c r="U309" s="8"/>
      <c r="V309" s="8"/>
      <c r="W309" s="8"/>
      <c r="X309" s="8"/>
      <c r="Y309" s="8"/>
      <c r="Z309" s="8"/>
      <c r="AA309" s="8"/>
      <c r="AB309" s="157"/>
      <c r="AC309" s="314" t="str">
        <f t="shared" si="78"/>
        <v>no</v>
      </c>
      <c r="AD309" s="314">
        <f>COUNTA(first:Last!R309)</f>
        <v>0</v>
      </c>
      <c r="AE309" s="157">
        <f>SUM(first:Last!Z309)</f>
        <v>0</v>
      </c>
      <c r="AF309" s="157" t="str">
        <f t="shared" si="79"/>
        <v>yes</v>
      </c>
      <c r="AG309" s="157">
        <f>COUNTA(Last:end!M309)</f>
        <v>2</v>
      </c>
      <c r="AH309" s="520">
        <f>COUNTA(Last:end!M309)/6</f>
        <v>0.33333333333333331</v>
      </c>
      <c r="AI309" s="157">
        <f>SUM(Last:end!O309)</f>
        <v>0</v>
      </c>
      <c r="AJ309" s="157">
        <f>MIN(Last:end!L309)</f>
        <v>2023</v>
      </c>
      <c r="AK309" s="157" t="e">
        <f>IF(AND(AJ309&lt;=2023,#REF!="high interest / inadequate offer "),"yes","no")</f>
        <v>#REF!</v>
      </c>
      <c r="AL309" s="157" t="str">
        <f t="shared" si="77"/>
        <v>no</v>
      </c>
      <c r="AM309" s="157"/>
      <c r="AN309" s="157"/>
      <c r="AO309" s="157"/>
      <c r="AP309" s="157">
        <v>1</v>
      </c>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row>
    <row r="310" spans="1:209" s="26" customFormat="1" ht="62.25" customHeight="1">
      <c r="A310" s="8" t="s">
        <v>20</v>
      </c>
      <c r="B310" s="29" t="s">
        <v>587</v>
      </c>
      <c r="C310" s="8" t="s">
        <v>876</v>
      </c>
      <c r="D310" s="8" t="s">
        <v>895</v>
      </c>
      <c r="E310" s="8" t="s">
        <v>896</v>
      </c>
      <c r="F310" s="8"/>
      <c r="G310" s="8" t="s">
        <v>62</v>
      </c>
      <c r="H310" s="8" t="s">
        <v>894</v>
      </c>
      <c r="I310" s="9">
        <v>1</v>
      </c>
      <c r="J310" s="8"/>
      <c r="K310" s="8"/>
      <c r="L310" s="8"/>
      <c r="M310" s="8"/>
      <c r="N310" s="8"/>
      <c r="O310" s="8"/>
      <c r="P310" s="8"/>
      <c r="Q310" s="157"/>
      <c r="R310" s="8"/>
      <c r="S310" s="8"/>
      <c r="T310" s="8"/>
      <c r="U310" s="8"/>
      <c r="V310" s="8"/>
      <c r="W310" s="8"/>
      <c r="X310" s="8"/>
      <c r="Y310" s="8"/>
      <c r="Z310" s="8"/>
      <c r="AA310" s="8"/>
      <c r="AB310" s="157"/>
      <c r="AC310" s="314" t="str">
        <f t="shared" si="78"/>
        <v>no</v>
      </c>
      <c r="AD310" s="314">
        <f>COUNTA(first:Last!R310)</f>
        <v>0</v>
      </c>
      <c r="AE310" s="157">
        <f>SUM(first:Last!Z310)</f>
        <v>0</v>
      </c>
      <c r="AF310" s="157" t="str">
        <f t="shared" si="79"/>
        <v>yes</v>
      </c>
      <c r="AG310" s="157">
        <f>COUNTA(Last:end!M310)</f>
        <v>2</v>
      </c>
      <c r="AH310" s="520">
        <f>COUNTA(Last:end!M310)/6</f>
        <v>0.33333333333333331</v>
      </c>
      <c r="AI310" s="157">
        <f>SUM(Last:end!O310)</f>
        <v>0</v>
      </c>
      <c r="AJ310" s="157">
        <f>MIN(Last:end!L310)</f>
        <v>0</v>
      </c>
      <c r="AK310" s="157" t="e">
        <f>IF(AND(AJ310&lt;=2023,#REF!="high interest / inadequate offer "),"yes","no")</f>
        <v>#REF!</v>
      </c>
      <c r="AL310" s="157" t="str">
        <f t="shared" si="77"/>
        <v>no</v>
      </c>
      <c r="AM310" s="157"/>
      <c r="AN310" s="157"/>
      <c r="AO310" s="157"/>
      <c r="AP310" s="157">
        <v>1</v>
      </c>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row>
    <row r="311" spans="1:209" s="26" customFormat="1" ht="62.25" customHeight="1">
      <c r="A311" s="8" t="s">
        <v>20</v>
      </c>
      <c r="B311" s="29" t="s">
        <v>587</v>
      </c>
      <c r="C311" s="8" t="s">
        <v>897</v>
      </c>
      <c r="D311" s="8" t="s">
        <v>898</v>
      </c>
      <c r="E311" s="8" t="s">
        <v>899</v>
      </c>
      <c r="F311" s="8"/>
      <c r="G311" s="8" t="s">
        <v>62</v>
      </c>
      <c r="H311" s="8" t="s">
        <v>735</v>
      </c>
      <c r="I311" s="9">
        <v>1</v>
      </c>
      <c r="J311" s="8"/>
      <c r="K311" s="8"/>
      <c r="L311" s="8"/>
      <c r="M311" s="8"/>
      <c r="N311" s="8"/>
      <c r="O311" s="8"/>
      <c r="P311" s="8"/>
      <c r="Q311" s="157"/>
      <c r="R311" s="8"/>
      <c r="S311" s="8"/>
      <c r="T311" s="8"/>
      <c r="U311" s="8"/>
      <c r="V311" s="8"/>
      <c r="W311" s="8"/>
      <c r="X311" s="8"/>
      <c r="Y311" s="8"/>
      <c r="Z311" s="8"/>
      <c r="AA311" s="8"/>
      <c r="AB311" s="157"/>
      <c r="AC311" s="314" t="str">
        <f t="shared" si="78"/>
        <v>no</v>
      </c>
      <c r="AD311" s="314">
        <f>COUNTA(first:Last!R311)</f>
        <v>0</v>
      </c>
      <c r="AE311" s="157">
        <f>SUM(first:Last!Z311)</f>
        <v>0</v>
      </c>
      <c r="AF311" s="157" t="str">
        <f t="shared" si="79"/>
        <v>yes</v>
      </c>
      <c r="AG311" s="157">
        <f>COUNTA(Last:end!M311)</f>
        <v>2</v>
      </c>
      <c r="AH311" s="520">
        <f>COUNTA(Last:end!M311)/6</f>
        <v>0.33333333333333331</v>
      </c>
      <c r="AI311" s="157">
        <f>SUM(Last:end!O311)</f>
        <v>0</v>
      </c>
      <c r="AJ311" s="157">
        <f>MIN(Last:end!L311)</f>
        <v>2023</v>
      </c>
      <c r="AK311" s="157" t="e">
        <f>IF(AND(AJ311&lt;=2023,#REF!="high interest / inadequate offer "),"yes","no")</f>
        <v>#REF!</v>
      </c>
      <c r="AL311" s="157" t="str">
        <f t="shared" si="77"/>
        <v>no</v>
      </c>
      <c r="AM311" s="157"/>
      <c r="AN311" s="157"/>
      <c r="AO311" s="157"/>
      <c r="AP311" s="157">
        <v>1</v>
      </c>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row>
    <row r="312" spans="1:209" s="26" customFormat="1" ht="62.25" customHeight="1">
      <c r="A312" s="8" t="s">
        <v>20</v>
      </c>
      <c r="B312" s="29" t="s">
        <v>587</v>
      </c>
      <c r="C312" s="8" t="s">
        <v>897</v>
      </c>
      <c r="D312" s="8" t="s">
        <v>900</v>
      </c>
      <c r="E312" s="8" t="s">
        <v>899</v>
      </c>
      <c r="F312" s="8"/>
      <c r="G312" s="8" t="s">
        <v>62</v>
      </c>
      <c r="H312" s="8" t="s">
        <v>428</v>
      </c>
      <c r="I312" s="9">
        <v>1</v>
      </c>
      <c r="J312" s="8"/>
      <c r="K312" s="8"/>
      <c r="L312" s="8"/>
      <c r="M312" s="8"/>
      <c r="N312" s="8"/>
      <c r="O312" s="8"/>
      <c r="P312" s="8"/>
      <c r="Q312" s="157"/>
      <c r="R312" s="8"/>
      <c r="S312" s="8"/>
      <c r="T312" s="8"/>
      <c r="U312" s="8"/>
      <c r="V312" s="8"/>
      <c r="W312" s="8"/>
      <c r="X312" s="8"/>
      <c r="Y312" s="8"/>
      <c r="Z312" s="8"/>
      <c r="AA312" s="8"/>
      <c r="AB312" s="157"/>
      <c r="AC312" s="314" t="str">
        <f t="shared" si="78"/>
        <v>no</v>
      </c>
      <c r="AD312" s="314">
        <f>COUNTA(first:Last!R312)</f>
        <v>0</v>
      </c>
      <c r="AE312" s="157">
        <f>SUM(first:Last!Z312)</f>
        <v>0</v>
      </c>
      <c r="AF312" s="157" t="str">
        <f t="shared" si="79"/>
        <v>yes</v>
      </c>
      <c r="AG312" s="157">
        <f>COUNTA(Last:end!M312)</f>
        <v>2</v>
      </c>
      <c r="AH312" s="520">
        <f>COUNTA(Last:end!M312)/6</f>
        <v>0.33333333333333331</v>
      </c>
      <c r="AI312" s="157">
        <f>SUM(Last:end!O312)</f>
        <v>0</v>
      </c>
      <c r="AJ312" s="157">
        <f>MIN(Last:end!L312)</f>
        <v>2023</v>
      </c>
      <c r="AK312" s="157" t="e">
        <f>IF(AND(AJ312&lt;=2023,#REF!="high interest / inadequate offer "),"yes","no")</f>
        <v>#REF!</v>
      </c>
      <c r="AL312" s="157" t="str">
        <f t="shared" si="77"/>
        <v>no</v>
      </c>
      <c r="AM312" s="157"/>
      <c r="AN312" s="157"/>
      <c r="AO312" s="157"/>
      <c r="AP312" s="157">
        <v>1</v>
      </c>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row>
    <row r="313" spans="1:209" s="26" customFormat="1" ht="62.25" customHeight="1">
      <c r="A313" s="8" t="s">
        <v>20</v>
      </c>
      <c r="B313" s="29" t="s">
        <v>587</v>
      </c>
      <c r="C313" s="8" t="s">
        <v>901</v>
      </c>
      <c r="D313" s="8" t="s">
        <v>902</v>
      </c>
      <c r="E313" s="8" t="s">
        <v>903</v>
      </c>
      <c r="F313" s="8"/>
      <c r="G313" s="8" t="s">
        <v>62</v>
      </c>
      <c r="H313" s="8" t="s">
        <v>623</v>
      </c>
      <c r="I313" s="9">
        <v>1</v>
      </c>
      <c r="J313" s="8"/>
      <c r="K313" s="8"/>
      <c r="L313" s="8"/>
      <c r="M313" s="8"/>
      <c r="N313" s="8"/>
      <c r="O313" s="8"/>
      <c r="P313" s="8"/>
      <c r="Q313" s="157"/>
      <c r="R313" s="8"/>
      <c r="S313" s="8"/>
      <c r="T313" s="8"/>
      <c r="U313" s="8"/>
      <c r="V313" s="8"/>
      <c r="W313" s="8"/>
      <c r="X313" s="8"/>
      <c r="Y313" s="8"/>
      <c r="Z313" s="8"/>
      <c r="AA313" s="8"/>
      <c r="AB313" s="157"/>
      <c r="AC313" s="314" t="str">
        <f t="shared" si="78"/>
        <v>no</v>
      </c>
      <c r="AD313" s="314">
        <f>COUNTA(first:Last!R313)</f>
        <v>0</v>
      </c>
      <c r="AE313" s="157">
        <f>SUM(first:Last!Z313)</f>
        <v>0</v>
      </c>
      <c r="AF313" s="157" t="str">
        <f t="shared" si="79"/>
        <v>yes</v>
      </c>
      <c r="AG313" s="157">
        <f>COUNTA(Last:end!M313)</f>
        <v>2</v>
      </c>
      <c r="AH313" s="520">
        <f>COUNTA(Last:end!M313)/6</f>
        <v>0.33333333333333331</v>
      </c>
      <c r="AI313" s="157">
        <f>SUM(Last:end!O313)</f>
        <v>0</v>
      </c>
      <c r="AJ313" s="157">
        <f>MIN(Last:end!L313)</f>
        <v>0</v>
      </c>
      <c r="AK313" s="157" t="e">
        <f>IF(AND(AJ313&lt;=2023,#REF!="high interest / inadequate offer "),"yes","no")</f>
        <v>#REF!</v>
      </c>
      <c r="AL313" s="157" t="str">
        <f t="shared" si="77"/>
        <v>no</v>
      </c>
      <c r="AM313" s="157"/>
      <c r="AN313" s="157"/>
      <c r="AO313" s="157"/>
      <c r="AP313" s="157">
        <v>1</v>
      </c>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row>
    <row r="314" spans="1:209" s="26" customFormat="1" ht="62.25" customHeight="1">
      <c r="A314" s="8" t="s">
        <v>20</v>
      </c>
      <c r="B314" s="29" t="s">
        <v>587</v>
      </c>
      <c r="C314" s="8" t="s">
        <v>901</v>
      </c>
      <c r="D314" s="8" t="s">
        <v>904</v>
      </c>
      <c r="E314" s="8" t="s">
        <v>905</v>
      </c>
      <c r="F314" s="8"/>
      <c r="G314" s="8" t="s">
        <v>62</v>
      </c>
      <c r="H314" s="8" t="s">
        <v>742</v>
      </c>
      <c r="I314" s="9">
        <v>0.5</v>
      </c>
      <c r="J314" s="8"/>
      <c r="K314" s="8"/>
      <c r="L314" s="8"/>
      <c r="M314" s="8"/>
      <c r="N314" s="8"/>
      <c r="O314" s="8"/>
      <c r="P314" s="8"/>
      <c r="Q314" s="157"/>
      <c r="R314" s="8"/>
      <c r="S314" s="8"/>
      <c r="T314" s="8"/>
      <c r="U314" s="8"/>
      <c r="V314" s="8"/>
      <c r="W314" s="8"/>
      <c r="X314" s="8"/>
      <c r="Y314" s="8"/>
      <c r="Z314" s="8"/>
      <c r="AA314" s="8"/>
      <c r="AB314" s="157"/>
      <c r="AC314" s="314" t="str">
        <f t="shared" si="78"/>
        <v>yes</v>
      </c>
      <c r="AD314" s="314">
        <f>COUNTA(first:Last!R314)</f>
        <v>1</v>
      </c>
      <c r="AE314" s="157">
        <f>SUM(first:Last!Z314)</f>
        <v>0</v>
      </c>
      <c r="AF314" s="157" t="str">
        <f t="shared" si="79"/>
        <v>yes</v>
      </c>
      <c r="AG314" s="157">
        <f>COUNTA(Last:end!M314)</f>
        <v>3</v>
      </c>
      <c r="AH314" s="520">
        <f>COUNTA(Last:end!M314)/6</f>
        <v>0.5</v>
      </c>
      <c r="AI314" s="157">
        <f>SUM(Last:end!O314)</f>
        <v>0</v>
      </c>
      <c r="AJ314" s="157">
        <f>MIN(Last:end!L314)</f>
        <v>2023</v>
      </c>
      <c r="AK314" s="157" t="e">
        <f>IF(AND(AJ314&lt;=2023,#REF!="high interest / inadequate offer "),"yes","no")</f>
        <v>#REF!</v>
      </c>
      <c r="AL314" s="157" t="str">
        <f t="shared" si="77"/>
        <v>no</v>
      </c>
      <c r="AM314" s="157"/>
      <c r="AN314" s="157"/>
      <c r="AO314" s="157"/>
      <c r="AP314" s="157">
        <v>1</v>
      </c>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row>
    <row r="315" spans="1:209" s="26" customFormat="1" ht="62.25" customHeight="1">
      <c r="A315" s="8" t="s">
        <v>20</v>
      </c>
      <c r="B315" s="29" t="s">
        <v>587</v>
      </c>
      <c r="C315" s="8" t="s">
        <v>901</v>
      </c>
      <c r="D315" s="8" t="s">
        <v>906</v>
      </c>
      <c r="E315" s="8" t="s">
        <v>907</v>
      </c>
      <c r="F315" s="8"/>
      <c r="G315" s="8" t="s">
        <v>58</v>
      </c>
      <c r="H315" s="8" t="s">
        <v>745</v>
      </c>
      <c r="I315" s="9">
        <v>0.5</v>
      </c>
      <c r="J315" s="8"/>
      <c r="K315" s="8"/>
      <c r="L315" s="8"/>
      <c r="M315" s="8"/>
      <c r="N315" s="8"/>
      <c r="O315" s="8"/>
      <c r="P315" s="8"/>
      <c r="Q315" s="157"/>
      <c r="R315" s="8"/>
      <c r="S315" s="8"/>
      <c r="T315" s="8"/>
      <c r="U315" s="8"/>
      <c r="V315" s="8"/>
      <c r="W315" s="8"/>
      <c r="X315" s="8"/>
      <c r="Y315" s="8"/>
      <c r="Z315" s="8"/>
      <c r="AA315" s="8"/>
      <c r="AB315" s="157"/>
      <c r="AC315" s="314" t="str">
        <f t="shared" si="78"/>
        <v>no</v>
      </c>
      <c r="AD315" s="314">
        <f>COUNTA(first:Last!R315)</f>
        <v>0</v>
      </c>
      <c r="AE315" s="157">
        <f>SUM(first:Last!Z315)</f>
        <v>0</v>
      </c>
      <c r="AF315" s="157" t="str">
        <f t="shared" si="79"/>
        <v>yes</v>
      </c>
      <c r="AG315" s="157">
        <f>COUNTA(Last:end!M315)</f>
        <v>3</v>
      </c>
      <c r="AH315" s="520">
        <f>COUNTA(Last:end!M315)/6</f>
        <v>0.5</v>
      </c>
      <c r="AI315" s="157">
        <f>SUM(Last:end!O315)</f>
        <v>0</v>
      </c>
      <c r="AJ315" s="157">
        <f>MIN(Last:end!L315)</f>
        <v>2023</v>
      </c>
      <c r="AK315" s="157" t="e">
        <f>IF(AND(AJ315&lt;=2023,#REF!="high interest / inadequate offer "),"yes","no")</f>
        <v>#REF!</v>
      </c>
      <c r="AL315" s="157" t="str">
        <f t="shared" si="77"/>
        <v>no</v>
      </c>
      <c r="AM315" s="157"/>
      <c r="AN315" s="157"/>
      <c r="AO315" s="157"/>
      <c r="AP315" s="157">
        <v>1</v>
      </c>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row>
    <row r="316" spans="1:209" s="26" customFormat="1" ht="62.25" customHeight="1">
      <c r="A316" s="8" t="s">
        <v>20</v>
      </c>
      <c r="B316" s="29" t="s">
        <v>587</v>
      </c>
      <c r="C316" s="8" t="s">
        <v>908</v>
      </c>
      <c r="D316" s="8" t="s">
        <v>909</v>
      </c>
      <c r="E316" s="8" t="s">
        <v>910</v>
      </c>
      <c r="F316" s="8"/>
      <c r="G316" s="8" t="s">
        <v>62</v>
      </c>
      <c r="H316" s="8" t="s">
        <v>911</v>
      </c>
      <c r="I316" s="9">
        <v>0.5</v>
      </c>
      <c r="J316" s="8"/>
      <c r="K316" s="8"/>
      <c r="L316" s="8"/>
      <c r="M316" s="8"/>
      <c r="N316" s="8"/>
      <c r="O316" s="8"/>
      <c r="P316" s="8"/>
      <c r="Q316" s="157"/>
      <c r="R316" s="8"/>
      <c r="S316" s="8"/>
      <c r="T316" s="8"/>
      <c r="U316" s="8"/>
      <c r="V316" s="8"/>
      <c r="W316" s="8"/>
      <c r="X316" s="8"/>
      <c r="Y316" s="8"/>
      <c r="Z316" s="8"/>
      <c r="AA316" s="8"/>
      <c r="AB316" s="157"/>
      <c r="AC316" s="314" t="str">
        <f t="shared" si="78"/>
        <v>yes</v>
      </c>
      <c r="AD316" s="314">
        <f>COUNTA(first:Last!R316)</f>
        <v>1</v>
      </c>
      <c r="AE316" s="157">
        <f>SUM(first:Last!Z316)</f>
        <v>0</v>
      </c>
      <c r="AF316" s="157" t="str">
        <f t="shared" si="79"/>
        <v>yes</v>
      </c>
      <c r="AG316" s="157">
        <f>COUNTA(Last:end!M316)</f>
        <v>3</v>
      </c>
      <c r="AH316" s="520">
        <f>COUNTA(Last:end!M316)/6</f>
        <v>0.5</v>
      </c>
      <c r="AI316" s="157">
        <f>SUM(Last:end!O316)</f>
        <v>0</v>
      </c>
      <c r="AJ316" s="157">
        <f>MIN(Last:end!L316)</f>
        <v>0</v>
      </c>
      <c r="AK316" s="157" t="e">
        <f>IF(AND(AJ316&lt;=2023,#REF!="high interest / inadequate offer "),"yes","no")</f>
        <v>#REF!</v>
      </c>
      <c r="AL316" s="157" t="str">
        <f t="shared" si="77"/>
        <v>no</v>
      </c>
      <c r="AM316" s="157"/>
      <c r="AN316" s="157"/>
      <c r="AO316" s="157"/>
      <c r="AP316" s="157">
        <v>1</v>
      </c>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row>
    <row r="317" spans="1:209" s="26" customFormat="1" ht="62.25" customHeight="1">
      <c r="A317" s="8" t="s">
        <v>20</v>
      </c>
      <c r="B317" s="29" t="s">
        <v>587</v>
      </c>
      <c r="C317" s="8" t="s">
        <v>908</v>
      </c>
      <c r="D317" s="8" t="s">
        <v>912</v>
      </c>
      <c r="E317" s="8" t="s">
        <v>913</v>
      </c>
      <c r="F317" s="8"/>
      <c r="G317" s="8" t="s">
        <v>62</v>
      </c>
      <c r="H317" s="8" t="s">
        <v>859</v>
      </c>
      <c r="I317" s="9">
        <v>0.5</v>
      </c>
      <c r="J317" s="8"/>
      <c r="K317" s="8"/>
      <c r="L317" s="8"/>
      <c r="M317" s="8"/>
      <c r="N317" s="8"/>
      <c r="O317" s="8"/>
      <c r="P317" s="8"/>
      <c r="Q317" s="157"/>
      <c r="R317" s="8"/>
      <c r="S317" s="8"/>
      <c r="T317" s="8"/>
      <c r="U317" s="8"/>
      <c r="V317" s="8"/>
      <c r="W317" s="8"/>
      <c r="X317" s="8"/>
      <c r="Y317" s="8"/>
      <c r="Z317" s="8"/>
      <c r="AA317" s="8"/>
      <c r="AB317" s="157"/>
      <c r="AC317" s="314" t="str">
        <f t="shared" si="78"/>
        <v>no</v>
      </c>
      <c r="AD317" s="314">
        <f>COUNTA(first:Last!R317)</f>
        <v>0</v>
      </c>
      <c r="AE317" s="157">
        <f>SUM(first:Last!Z317)</f>
        <v>0</v>
      </c>
      <c r="AF317" s="157" t="str">
        <f t="shared" si="79"/>
        <v>yes</v>
      </c>
      <c r="AG317" s="157">
        <f>COUNTA(Last:end!M317)</f>
        <v>2</v>
      </c>
      <c r="AH317" s="520">
        <f>COUNTA(Last:end!M317)/6</f>
        <v>0.33333333333333331</v>
      </c>
      <c r="AI317" s="157">
        <f>SUM(Last:end!O317)</f>
        <v>0</v>
      </c>
      <c r="AJ317" s="157">
        <f>MIN(Last:end!L317)</f>
        <v>0</v>
      </c>
      <c r="AK317" s="157" t="e">
        <f>IF(AND(AJ317&lt;=2023,#REF!="high interest / inadequate offer "),"yes","no")</f>
        <v>#REF!</v>
      </c>
      <c r="AL317" s="157" t="str">
        <f t="shared" si="77"/>
        <v>no</v>
      </c>
      <c r="AM317" s="157"/>
      <c r="AN317" s="157"/>
      <c r="AO317" s="157"/>
      <c r="AP317" s="157">
        <v>1</v>
      </c>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row>
    <row r="318" spans="1:209" s="26" customFormat="1" ht="62.25" customHeight="1">
      <c r="A318" s="8" t="s">
        <v>20</v>
      </c>
      <c r="B318" s="29" t="s">
        <v>587</v>
      </c>
      <c r="C318" s="8" t="s">
        <v>908</v>
      </c>
      <c r="D318" s="8" t="s">
        <v>914</v>
      </c>
      <c r="E318" s="8" t="s">
        <v>915</v>
      </c>
      <c r="F318" s="8"/>
      <c r="G318" s="8" t="s">
        <v>62</v>
      </c>
      <c r="H318" s="8" t="s">
        <v>916</v>
      </c>
      <c r="I318" s="9">
        <v>0.5</v>
      </c>
      <c r="J318" s="8"/>
      <c r="K318" s="8"/>
      <c r="L318" s="8"/>
      <c r="M318" s="8"/>
      <c r="N318" s="8"/>
      <c r="O318" s="8"/>
      <c r="P318" s="8"/>
      <c r="Q318" s="157"/>
      <c r="R318" s="8"/>
      <c r="S318" s="8"/>
      <c r="T318" s="8"/>
      <c r="U318" s="8"/>
      <c r="V318" s="8"/>
      <c r="W318" s="8"/>
      <c r="X318" s="8"/>
      <c r="Y318" s="8"/>
      <c r="Z318" s="8"/>
      <c r="AA318" s="8"/>
      <c r="AB318" s="157"/>
      <c r="AC318" s="314" t="str">
        <f t="shared" si="78"/>
        <v>yes</v>
      </c>
      <c r="AD318" s="314">
        <f>COUNTA(first:Last!R318)</f>
        <v>1</v>
      </c>
      <c r="AE318" s="157">
        <f>SUM(first:Last!Z318)</f>
        <v>0</v>
      </c>
      <c r="AF318" s="157" t="str">
        <f t="shared" si="79"/>
        <v>yes</v>
      </c>
      <c r="AG318" s="157">
        <f>COUNTA(Last:end!M318)</f>
        <v>2</v>
      </c>
      <c r="AH318" s="520">
        <f>COUNTA(Last:end!M318)/6</f>
        <v>0.33333333333333331</v>
      </c>
      <c r="AI318" s="157">
        <f>SUM(Last:end!O318)</f>
        <v>0</v>
      </c>
      <c r="AJ318" s="157">
        <f>MIN(Last:end!L318)</f>
        <v>0</v>
      </c>
      <c r="AK318" s="157" t="e">
        <f>IF(AND(AJ318&lt;=2023,#REF!="high interest / inadequate offer "),"yes","no")</f>
        <v>#REF!</v>
      </c>
      <c r="AL318" s="157" t="str">
        <f t="shared" si="77"/>
        <v>no</v>
      </c>
      <c r="AM318" s="157"/>
      <c r="AN318" s="157"/>
      <c r="AO318" s="157"/>
      <c r="AP318" s="157">
        <v>1</v>
      </c>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row>
    <row r="319" spans="1:209" s="26" customFormat="1" ht="24.75" customHeight="1">
      <c r="A319" s="555" t="s">
        <v>917</v>
      </c>
      <c r="B319" s="112"/>
      <c r="C319" s="113"/>
      <c r="D319" s="113"/>
      <c r="E319" s="113"/>
      <c r="F319" s="113"/>
      <c r="G319" s="113"/>
      <c r="H319" s="113"/>
      <c r="I319" s="114"/>
      <c r="J319" s="113"/>
      <c r="K319" s="113"/>
      <c r="L319" s="113"/>
      <c r="M319" s="113"/>
      <c r="N319" s="113"/>
      <c r="O319" s="113"/>
      <c r="P319" s="113"/>
      <c r="Q319" s="113"/>
      <c r="R319" s="113"/>
      <c r="S319" s="113"/>
      <c r="T319" s="113"/>
      <c r="U319" s="113"/>
      <c r="V319" s="113"/>
      <c r="W319" s="113"/>
      <c r="X319" s="113"/>
      <c r="Y319" s="113"/>
      <c r="Z319" s="113"/>
      <c r="AA319" s="113"/>
      <c r="AB319" s="113"/>
      <c r="AC319" s="157"/>
      <c r="AD319" s="157"/>
      <c r="AE319" s="157"/>
      <c r="AF319" s="157"/>
      <c r="AG319" s="157"/>
      <c r="AH319" s="157"/>
      <c r="AI319" s="157"/>
      <c r="AJ319" s="157"/>
      <c r="AK319" s="157"/>
      <c r="AL319" s="157"/>
      <c r="AM319" s="157"/>
      <c r="AN319" s="157"/>
      <c r="AO319" s="157"/>
      <c r="AP319" s="157">
        <v>0</v>
      </c>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row>
    <row r="320" spans="1:209" s="26" customFormat="1" ht="62.25" customHeight="1">
      <c r="A320" s="8" t="s">
        <v>22</v>
      </c>
      <c r="B320" s="31" t="s">
        <v>54</v>
      </c>
      <c r="C320" s="18" t="s">
        <v>918</v>
      </c>
      <c r="D320" s="18" t="s">
        <v>919</v>
      </c>
      <c r="E320" s="18" t="s">
        <v>920</v>
      </c>
      <c r="F320" s="8"/>
      <c r="G320" s="24" t="s">
        <v>62</v>
      </c>
      <c r="H320" s="24" t="s">
        <v>921</v>
      </c>
      <c r="I320" s="24" t="s">
        <v>485</v>
      </c>
      <c r="J320" s="20"/>
      <c r="K320" s="20"/>
      <c r="L320" s="20"/>
      <c r="M320" s="20"/>
      <c r="N320" s="20"/>
      <c r="O320" s="20"/>
      <c r="P320" s="8"/>
      <c r="Q320" s="157"/>
      <c r="R320" s="20"/>
      <c r="S320" s="20"/>
      <c r="T320" s="20"/>
      <c r="U320" s="20"/>
      <c r="V320" s="20"/>
      <c r="W320" s="20"/>
      <c r="X320" s="20"/>
      <c r="Y320" s="20"/>
      <c r="Z320" s="20"/>
      <c r="AA320" s="20"/>
      <c r="AB320" s="20"/>
      <c r="AC320" s="65"/>
      <c r="AD320" s="65"/>
      <c r="AE320" s="65"/>
      <c r="AF320" s="65"/>
      <c r="AG320" s="157">
        <f>COUNTA(Last:end!M320)</f>
        <v>0</v>
      </c>
      <c r="AH320" s="520">
        <f>COUNTA(Last:end!M320)/6</f>
        <v>0</v>
      </c>
      <c r="AI320" s="65"/>
      <c r="AJ320" s="157">
        <f>MIN(Last:end!L320)</f>
        <v>0</v>
      </c>
      <c r="AK320" s="157" t="e">
        <f>IF(AND(AJ320&lt;=2023,#REF!="high interest / inadequate offer "),"yes","no")</f>
        <v>#REF!</v>
      </c>
      <c r="AL320" s="157" t="str">
        <f t="shared" ref="AL320:AL331" si="80">IF(AD320&gt;1,"yes", "no")</f>
        <v>no</v>
      </c>
      <c r="AM320" s="157"/>
      <c r="AN320" s="157"/>
      <c r="AO320" s="157"/>
      <c r="AP320" s="157">
        <v>0</v>
      </c>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row>
    <row r="321" spans="1:209" ht="62.25" customHeight="1">
      <c r="A321" s="8" t="s">
        <v>22</v>
      </c>
      <c r="B321" s="31" t="s">
        <v>54</v>
      </c>
      <c r="C321" s="18" t="s">
        <v>918</v>
      </c>
      <c r="D321" s="18" t="s">
        <v>922</v>
      </c>
      <c r="E321" s="69" t="s">
        <v>923</v>
      </c>
      <c r="F321" s="8"/>
      <c r="G321" s="18" t="s">
        <v>62</v>
      </c>
      <c r="H321" s="18" t="s">
        <v>921</v>
      </c>
      <c r="I321" s="18" t="s">
        <v>485</v>
      </c>
      <c r="J321" s="8"/>
      <c r="K321" s="8"/>
      <c r="L321" s="8"/>
      <c r="M321" s="8"/>
      <c r="N321" s="8"/>
      <c r="O321" s="8"/>
      <c r="P321" s="8"/>
      <c r="Q321" s="157"/>
      <c r="R321" s="8"/>
      <c r="S321" s="8"/>
      <c r="T321" s="8"/>
      <c r="U321" s="8"/>
      <c r="V321" s="8"/>
      <c r="W321" s="8"/>
      <c r="X321" s="8"/>
      <c r="Y321" s="8"/>
      <c r="Z321" s="8"/>
      <c r="AA321" s="8"/>
      <c r="AB321" s="8"/>
      <c r="AC321" s="314" t="str">
        <f t="shared" ref="AC321:AC323" si="81">IF(AD321&gt;0,"yes", "no")</f>
        <v>yes</v>
      </c>
      <c r="AD321" s="314">
        <f>COUNTA(first:Last!R321)</f>
        <v>3</v>
      </c>
      <c r="AE321" s="157">
        <f>SUM(first:Last!Z321)</f>
        <v>0</v>
      </c>
      <c r="AF321" s="157" t="str">
        <f t="shared" ref="AF321:AF323" si="82">IF(AH321&gt;0,"yes", "no")</f>
        <v>yes</v>
      </c>
      <c r="AG321" s="157">
        <f>COUNTA(Last:end!M321)</f>
        <v>3</v>
      </c>
      <c r="AH321" s="520">
        <f>COUNTA(Last:end!M321)/6</f>
        <v>0.5</v>
      </c>
      <c r="AI321" s="157">
        <f>SUM(Last:end!O321)</f>
        <v>0</v>
      </c>
      <c r="AJ321" s="157">
        <f>MIN(Last:end!L321)</f>
        <v>2023</v>
      </c>
      <c r="AK321" s="157" t="e">
        <f>IF(AND(AJ321&lt;=2023,#REF!="high interest / inadequate offer "),"yes","no")</f>
        <v>#REF!</v>
      </c>
      <c r="AL321" s="157" t="str">
        <f t="shared" si="80"/>
        <v>yes</v>
      </c>
      <c r="AM321" s="157"/>
      <c r="AN321" s="157"/>
      <c r="AO321" s="157"/>
      <c r="AP321" s="157">
        <v>1</v>
      </c>
    </row>
    <row r="322" spans="1:209" ht="62.25" customHeight="1">
      <c r="A322" s="8" t="s">
        <v>22</v>
      </c>
      <c r="B322" s="31" t="s">
        <v>54</v>
      </c>
      <c r="C322" s="18" t="s">
        <v>918</v>
      </c>
      <c r="D322" s="18" t="s">
        <v>924</v>
      </c>
      <c r="E322" s="69" t="s">
        <v>925</v>
      </c>
      <c r="F322" s="8"/>
      <c r="G322" s="18" t="s">
        <v>62</v>
      </c>
      <c r="H322" s="18" t="s">
        <v>921</v>
      </c>
      <c r="I322" s="18" t="s">
        <v>485</v>
      </c>
      <c r="J322" s="8"/>
      <c r="K322" s="8"/>
      <c r="L322" s="8"/>
      <c r="M322" s="8"/>
      <c r="N322" s="8"/>
      <c r="O322" s="8"/>
      <c r="P322" s="8"/>
      <c r="Q322" s="157"/>
      <c r="R322" s="8"/>
      <c r="S322" s="8"/>
      <c r="T322" s="8"/>
      <c r="U322" s="8"/>
      <c r="V322" s="8"/>
      <c r="W322" s="8"/>
      <c r="X322" s="8"/>
      <c r="Y322" s="8"/>
      <c r="Z322" s="8"/>
      <c r="AA322" s="8"/>
      <c r="AB322" s="8"/>
      <c r="AC322" s="314" t="str">
        <f t="shared" si="81"/>
        <v>yes</v>
      </c>
      <c r="AD322" s="314">
        <f>COUNTA(first:Last!R322)</f>
        <v>2</v>
      </c>
      <c r="AE322" s="157">
        <f>SUM(first:Last!Z322)</f>
        <v>0</v>
      </c>
      <c r="AF322" s="157" t="str">
        <f t="shared" si="82"/>
        <v>yes</v>
      </c>
      <c r="AG322" s="157">
        <f>COUNTA(Last:end!M322)</f>
        <v>1</v>
      </c>
      <c r="AH322" s="520">
        <f>COUNTA(Last:end!M322)/6</f>
        <v>0.16666666666666666</v>
      </c>
      <c r="AI322" s="157">
        <f>SUM(Last:end!O322)</f>
        <v>0</v>
      </c>
      <c r="AJ322" s="157">
        <f>MIN(Last:end!L322)</f>
        <v>0</v>
      </c>
      <c r="AK322" s="157" t="e">
        <f>IF(AND(AJ322&lt;=2023,#REF!="high interest / inadequate offer "),"yes","no")</f>
        <v>#REF!</v>
      </c>
      <c r="AL322" s="157" t="str">
        <f t="shared" si="80"/>
        <v>yes</v>
      </c>
      <c r="AM322" s="157"/>
      <c r="AN322" s="157"/>
      <c r="AO322" s="157"/>
      <c r="AP322" s="157">
        <v>1</v>
      </c>
    </row>
    <row r="323" spans="1:209" ht="62.25" customHeight="1">
      <c r="A323" s="8" t="s">
        <v>22</v>
      </c>
      <c r="B323" s="31" t="s">
        <v>54</v>
      </c>
      <c r="C323" s="18" t="s">
        <v>918</v>
      </c>
      <c r="D323" s="18" t="s">
        <v>926</v>
      </c>
      <c r="E323" s="69" t="s">
        <v>927</v>
      </c>
      <c r="F323" s="8"/>
      <c r="G323" s="18" t="s">
        <v>62</v>
      </c>
      <c r="H323" s="18" t="s">
        <v>921</v>
      </c>
      <c r="I323" s="18" t="s">
        <v>485</v>
      </c>
      <c r="J323" s="8"/>
      <c r="K323" s="8"/>
      <c r="L323" s="8"/>
      <c r="M323" s="8"/>
      <c r="N323" s="8"/>
      <c r="O323" s="8"/>
      <c r="P323" s="8"/>
      <c r="Q323" s="157"/>
      <c r="R323" s="8"/>
      <c r="S323" s="8"/>
      <c r="T323" s="8"/>
      <c r="U323" s="8"/>
      <c r="V323" s="8"/>
      <c r="W323" s="8"/>
      <c r="X323" s="8"/>
      <c r="Y323" s="8"/>
      <c r="Z323" s="8"/>
      <c r="AA323" s="8"/>
      <c r="AB323" s="8"/>
      <c r="AC323" s="314" t="str">
        <f t="shared" si="81"/>
        <v>yes</v>
      </c>
      <c r="AD323" s="314">
        <f>COUNTA(first:Last!R323)</f>
        <v>3</v>
      </c>
      <c r="AE323" s="157">
        <f>SUM(first:Last!Z323)</f>
        <v>0</v>
      </c>
      <c r="AF323" s="157" t="str">
        <f t="shared" si="82"/>
        <v>yes</v>
      </c>
      <c r="AG323" s="157">
        <f>COUNTA(Last:end!M323)</f>
        <v>3</v>
      </c>
      <c r="AH323" s="520">
        <f>COUNTA(Last:end!M323)/6</f>
        <v>0.5</v>
      </c>
      <c r="AI323" s="157">
        <f>SUM(Last:end!O323)</f>
        <v>0</v>
      </c>
      <c r="AJ323" s="157">
        <f>MIN(Last:end!L323)</f>
        <v>2023</v>
      </c>
      <c r="AK323" s="157" t="e">
        <f>IF(AND(AJ323&lt;=2023,#REF!="high interest / inadequate offer "),"yes","no")</f>
        <v>#REF!</v>
      </c>
      <c r="AL323" s="157" t="str">
        <f t="shared" si="80"/>
        <v>yes</v>
      </c>
      <c r="AM323" s="157"/>
      <c r="AN323" s="157"/>
      <c r="AO323" s="157"/>
      <c r="AP323" s="157">
        <v>1</v>
      </c>
    </row>
    <row r="324" spans="1:209" ht="62.25" customHeight="1">
      <c r="A324" s="8" t="s">
        <v>22</v>
      </c>
      <c r="B324" s="31" t="s">
        <v>54</v>
      </c>
      <c r="C324" s="18" t="s">
        <v>928</v>
      </c>
      <c r="D324" s="18" t="s">
        <v>929</v>
      </c>
      <c r="E324" s="18" t="s">
        <v>930</v>
      </c>
      <c r="F324" s="8"/>
      <c r="G324" s="24" t="s">
        <v>62</v>
      </c>
      <c r="H324" s="20"/>
      <c r="I324" s="20"/>
      <c r="J324" s="20"/>
      <c r="K324" s="20"/>
      <c r="L324" s="20"/>
      <c r="M324" s="20"/>
      <c r="N324" s="20"/>
      <c r="O324" s="20"/>
      <c r="P324" s="8"/>
      <c r="Q324" s="157"/>
      <c r="R324" s="20"/>
      <c r="S324" s="20"/>
      <c r="T324" s="20"/>
      <c r="U324" s="20"/>
      <c r="V324" s="20"/>
      <c r="W324" s="20"/>
      <c r="X324" s="20"/>
      <c r="Y324" s="20"/>
      <c r="Z324" s="20"/>
      <c r="AA324" s="20"/>
      <c r="AB324" s="20"/>
      <c r="AC324" s="65"/>
      <c r="AD324" s="65"/>
      <c r="AE324" s="65"/>
      <c r="AF324" s="65"/>
      <c r="AG324" s="157">
        <f>COUNTA(Last:end!M324)</f>
        <v>0</v>
      </c>
      <c r="AH324" s="520">
        <f>COUNTA(Last:end!M324)/6</f>
        <v>0</v>
      </c>
      <c r="AI324" s="65"/>
      <c r="AJ324" s="157">
        <f>MIN(Last:end!L324)</f>
        <v>0</v>
      </c>
      <c r="AK324" s="157" t="e">
        <f>IF(AND(AJ324&lt;=2023,#REF!="high interest / inadequate offer "),"yes","no")</f>
        <v>#REF!</v>
      </c>
      <c r="AL324" s="157" t="str">
        <f t="shared" si="80"/>
        <v>no</v>
      </c>
      <c r="AM324" s="157"/>
      <c r="AN324" s="157"/>
      <c r="AO324" s="157"/>
      <c r="AP324" s="157">
        <v>0</v>
      </c>
    </row>
    <row r="325" spans="1:209" ht="62.25" customHeight="1">
      <c r="A325" s="8" t="s">
        <v>22</v>
      </c>
      <c r="B325" s="31" t="s">
        <v>54</v>
      </c>
      <c r="C325" s="18" t="s">
        <v>928</v>
      </c>
      <c r="D325" s="18" t="s">
        <v>931</v>
      </c>
      <c r="E325" s="69" t="s">
        <v>932</v>
      </c>
      <c r="F325" s="8"/>
      <c r="G325" s="18" t="s">
        <v>62</v>
      </c>
      <c r="H325" s="18" t="s">
        <v>493</v>
      </c>
      <c r="I325" s="18" t="s">
        <v>933</v>
      </c>
      <c r="J325" s="8"/>
      <c r="K325" s="8"/>
      <c r="L325" s="8"/>
      <c r="M325" s="8"/>
      <c r="N325" s="8"/>
      <c r="O325" s="8"/>
      <c r="P325" s="8"/>
      <c r="Q325" s="157"/>
      <c r="R325" s="8"/>
      <c r="S325" s="8"/>
      <c r="T325" s="8"/>
      <c r="U325" s="8"/>
      <c r="V325" s="8"/>
      <c r="W325" s="8"/>
      <c r="X325" s="8"/>
      <c r="Y325" s="8"/>
      <c r="Z325" s="8"/>
      <c r="AA325" s="8"/>
      <c r="AB325" s="8"/>
      <c r="AC325" s="314" t="str">
        <f t="shared" ref="AC325:AC331" si="83">IF(AD325&gt;0,"yes", "no")</f>
        <v>yes</v>
      </c>
      <c r="AD325" s="314">
        <f>COUNTA(first:Last!R325)</f>
        <v>1</v>
      </c>
      <c r="AE325" s="157">
        <f>SUM(first:Last!Z325)</f>
        <v>62500</v>
      </c>
      <c r="AF325" s="157" t="str">
        <f t="shared" ref="AF325:AF331" si="84">IF(AH325&gt;0,"yes", "no")</f>
        <v>yes</v>
      </c>
      <c r="AG325" s="157">
        <f>COUNTA(Last:end!M325)</f>
        <v>2</v>
      </c>
      <c r="AH325" s="520">
        <f>COUNTA(Last:end!M325)/6</f>
        <v>0.33333333333333331</v>
      </c>
      <c r="AI325" s="157">
        <f>SUM(Last:end!O325)</f>
        <v>0</v>
      </c>
      <c r="AJ325" s="157">
        <f>MIN(Last:end!L325)</f>
        <v>2022</v>
      </c>
      <c r="AK325" s="157" t="e">
        <f>IF(AND(AJ325&lt;=2023,#REF!="high interest / inadequate offer "),"yes","no")</f>
        <v>#REF!</v>
      </c>
      <c r="AL325" s="157" t="str">
        <f t="shared" si="80"/>
        <v>no</v>
      </c>
      <c r="AM325" s="157"/>
      <c r="AN325" s="157"/>
      <c r="AO325" s="157"/>
      <c r="AP325" s="157">
        <v>1</v>
      </c>
    </row>
    <row r="326" spans="1:209" ht="62.25" customHeight="1">
      <c r="A326" s="8" t="s">
        <v>22</v>
      </c>
      <c r="B326" s="31" t="s">
        <v>54</v>
      </c>
      <c r="C326" s="18" t="s">
        <v>928</v>
      </c>
      <c r="D326" s="18" t="s">
        <v>934</v>
      </c>
      <c r="E326" s="69" t="s">
        <v>935</v>
      </c>
      <c r="F326" s="8"/>
      <c r="G326" s="18" t="s">
        <v>62</v>
      </c>
      <c r="H326" s="18" t="s">
        <v>493</v>
      </c>
      <c r="I326" s="18" t="s">
        <v>933</v>
      </c>
      <c r="J326" s="8"/>
      <c r="K326" s="8"/>
      <c r="L326" s="8"/>
      <c r="M326" s="8"/>
      <c r="N326" s="8"/>
      <c r="O326" s="8"/>
      <c r="P326" s="8"/>
      <c r="Q326" s="157"/>
      <c r="R326" s="8"/>
      <c r="S326" s="8"/>
      <c r="T326" s="8"/>
      <c r="U326" s="8"/>
      <c r="V326" s="8"/>
      <c r="W326" s="8"/>
      <c r="X326" s="8"/>
      <c r="Y326" s="8"/>
      <c r="Z326" s="8"/>
      <c r="AA326" s="8"/>
      <c r="AB326" s="8"/>
      <c r="AC326" s="314" t="str">
        <f t="shared" si="83"/>
        <v>yes</v>
      </c>
      <c r="AD326" s="314">
        <f>COUNTA(first:Last!R326)</f>
        <v>1</v>
      </c>
      <c r="AE326" s="157">
        <f>SUM(first:Last!Z326)</f>
        <v>0</v>
      </c>
      <c r="AF326" s="157" t="str">
        <f t="shared" si="84"/>
        <v>yes</v>
      </c>
      <c r="AG326" s="157">
        <f>COUNTA(Last:end!M326)</f>
        <v>2</v>
      </c>
      <c r="AH326" s="520">
        <f>COUNTA(Last:end!M326)/6</f>
        <v>0.33333333333333331</v>
      </c>
      <c r="AI326" s="157">
        <f>SUM(Last:end!O326)</f>
        <v>0</v>
      </c>
      <c r="AJ326" s="157">
        <f>MIN(Last:end!L326)</f>
        <v>2023</v>
      </c>
      <c r="AK326" s="157" t="e">
        <f>IF(AND(AJ326&lt;=2023,#REF!="high interest / inadequate offer "),"yes","no")</f>
        <v>#REF!</v>
      </c>
      <c r="AL326" s="157" t="str">
        <f t="shared" si="80"/>
        <v>no</v>
      </c>
      <c r="AM326" s="157"/>
      <c r="AN326" s="157"/>
      <c r="AO326" s="157"/>
      <c r="AP326" s="157">
        <v>1</v>
      </c>
    </row>
    <row r="327" spans="1:209" ht="62.25" customHeight="1">
      <c r="A327" s="8" t="s">
        <v>22</v>
      </c>
      <c r="B327" s="31" t="s">
        <v>54</v>
      </c>
      <c r="C327" s="18" t="s">
        <v>928</v>
      </c>
      <c r="D327" s="18" t="s">
        <v>936</v>
      </c>
      <c r="E327" s="69" t="s">
        <v>937</v>
      </c>
      <c r="F327" s="8"/>
      <c r="G327" s="18" t="s">
        <v>62</v>
      </c>
      <c r="H327" s="18" t="s">
        <v>493</v>
      </c>
      <c r="I327" s="18" t="s">
        <v>933</v>
      </c>
      <c r="J327" s="8"/>
      <c r="K327" s="8"/>
      <c r="L327" s="8"/>
      <c r="M327" s="8"/>
      <c r="N327" s="8"/>
      <c r="O327" s="8"/>
      <c r="P327" s="8"/>
      <c r="Q327" s="157"/>
      <c r="R327" s="8"/>
      <c r="S327" s="8"/>
      <c r="T327" s="8"/>
      <c r="U327" s="8"/>
      <c r="V327" s="8"/>
      <c r="W327" s="8"/>
      <c r="X327" s="8"/>
      <c r="Y327" s="8"/>
      <c r="Z327" s="8"/>
      <c r="AA327" s="8"/>
      <c r="AB327" s="8"/>
      <c r="AC327" s="314" t="str">
        <f t="shared" si="83"/>
        <v>no</v>
      </c>
      <c r="AD327" s="314">
        <f>COUNTA(first:Last!R327)</f>
        <v>0</v>
      </c>
      <c r="AE327" s="157">
        <f>SUM(first:Last!Z327)</f>
        <v>0</v>
      </c>
      <c r="AF327" s="157" t="str">
        <f t="shared" si="84"/>
        <v>yes</v>
      </c>
      <c r="AG327" s="157">
        <f>COUNTA(Last:end!M327)</f>
        <v>2</v>
      </c>
      <c r="AH327" s="520">
        <f>COUNTA(Last:end!M327)/6</f>
        <v>0.33333333333333331</v>
      </c>
      <c r="AI327" s="157">
        <f>SUM(Last:end!O327)</f>
        <v>0</v>
      </c>
      <c r="AJ327" s="157">
        <f>MIN(Last:end!L327)</f>
        <v>0</v>
      </c>
      <c r="AK327" s="157" t="e">
        <f>IF(AND(AJ327&lt;=2023,#REF!="high interest / inadequate offer "),"yes","no")</f>
        <v>#REF!</v>
      </c>
      <c r="AL327" s="157" t="str">
        <f t="shared" si="80"/>
        <v>no</v>
      </c>
      <c r="AM327" s="157"/>
      <c r="AN327" s="157"/>
      <c r="AO327" s="157"/>
      <c r="AP327" s="157">
        <v>1</v>
      </c>
    </row>
    <row r="328" spans="1:209" ht="62.25" customHeight="1">
      <c r="A328" s="8" t="s">
        <v>22</v>
      </c>
      <c r="B328" s="31" t="s">
        <v>54</v>
      </c>
      <c r="C328" s="18" t="s">
        <v>928</v>
      </c>
      <c r="D328" s="18" t="s">
        <v>938</v>
      </c>
      <c r="E328" s="69" t="s">
        <v>939</v>
      </c>
      <c r="F328" s="8"/>
      <c r="G328" s="18" t="s">
        <v>62</v>
      </c>
      <c r="H328" s="18" t="s">
        <v>493</v>
      </c>
      <c r="I328" s="18" t="s">
        <v>933</v>
      </c>
      <c r="J328" s="8"/>
      <c r="K328" s="8"/>
      <c r="L328" s="8"/>
      <c r="M328" s="8"/>
      <c r="N328" s="8"/>
      <c r="O328" s="8"/>
      <c r="P328" s="8"/>
      <c r="Q328" s="157"/>
      <c r="R328" s="8"/>
      <c r="S328" s="8"/>
      <c r="T328" s="8"/>
      <c r="U328" s="8"/>
      <c r="V328" s="8"/>
      <c r="W328" s="8"/>
      <c r="X328" s="8"/>
      <c r="Y328" s="8"/>
      <c r="Z328" s="8"/>
      <c r="AA328" s="8"/>
      <c r="AB328" s="8"/>
      <c r="AC328" s="314" t="str">
        <f t="shared" si="83"/>
        <v>yes</v>
      </c>
      <c r="AD328" s="314">
        <f>COUNTA(first:Last!R328)</f>
        <v>1</v>
      </c>
      <c r="AE328" s="157">
        <f>SUM(first:Last!Z328)</f>
        <v>70000</v>
      </c>
      <c r="AF328" s="157" t="str">
        <f t="shared" si="84"/>
        <v>yes</v>
      </c>
      <c r="AG328" s="157">
        <f>COUNTA(Last:end!M328)</f>
        <v>1</v>
      </c>
      <c r="AH328" s="520">
        <f>COUNTA(Last:end!M328)/6</f>
        <v>0.16666666666666666</v>
      </c>
      <c r="AI328" s="157">
        <f>SUM(Last:end!O328)</f>
        <v>0</v>
      </c>
      <c r="AJ328" s="157">
        <f>MIN(Last:end!L328)</f>
        <v>0</v>
      </c>
      <c r="AK328" s="157" t="e">
        <f>IF(AND(AJ328&lt;=2023,#REF!="high interest / inadequate offer "),"yes","no")</f>
        <v>#REF!</v>
      </c>
      <c r="AL328" s="157" t="str">
        <f t="shared" si="80"/>
        <v>no</v>
      </c>
      <c r="AM328" s="157"/>
      <c r="AN328" s="157"/>
      <c r="AO328" s="157"/>
      <c r="AP328" s="157">
        <v>1</v>
      </c>
    </row>
    <row r="329" spans="1:209" ht="62.25"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8"/>
      <c r="Q329" s="157"/>
      <c r="R329" s="8"/>
      <c r="S329" s="8"/>
      <c r="T329" s="8"/>
      <c r="U329" s="8"/>
      <c r="V329" s="8"/>
      <c r="W329" s="8"/>
      <c r="X329" s="8"/>
      <c r="Y329" s="8"/>
      <c r="Z329" s="8"/>
      <c r="AA329" s="8"/>
      <c r="AB329" s="8"/>
      <c r="AC329" s="314" t="str">
        <f t="shared" si="83"/>
        <v>no</v>
      </c>
      <c r="AD329" s="314">
        <f>COUNTA(first:Last!R329)</f>
        <v>0</v>
      </c>
      <c r="AE329" s="157">
        <f>SUM(first:Last!Z329)</f>
        <v>0</v>
      </c>
      <c r="AF329" s="157" t="str">
        <f t="shared" si="84"/>
        <v>yes</v>
      </c>
      <c r="AG329" s="157">
        <f>COUNTA(Last:end!M329)</f>
        <v>2</v>
      </c>
      <c r="AH329" s="520">
        <f>COUNTA(Last:end!M329)/6</f>
        <v>0.33333333333333331</v>
      </c>
      <c r="AI329" s="157">
        <f>SUM(Last:end!O329)</f>
        <v>0</v>
      </c>
      <c r="AJ329" s="157">
        <f>MIN(Last:end!L329)</f>
        <v>2023</v>
      </c>
      <c r="AK329" s="157" t="e">
        <f>IF(AND(AJ329&lt;=2023,#REF!="high interest / inadequate offer "),"yes","no")</f>
        <v>#REF!</v>
      </c>
      <c r="AL329" s="157" t="str">
        <f t="shared" si="80"/>
        <v>no</v>
      </c>
      <c r="AM329" s="157"/>
      <c r="AN329" s="157"/>
      <c r="AO329" s="157"/>
      <c r="AP329" s="157">
        <v>1</v>
      </c>
    </row>
    <row r="330" spans="1:209" ht="62.25" customHeight="1">
      <c r="A330" s="8" t="s">
        <v>22</v>
      </c>
      <c r="B330" s="31" t="s">
        <v>54</v>
      </c>
      <c r="C330" s="18" t="s">
        <v>928</v>
      </c>
      <c r="D330" s="18" t="s">
        <v>942</v>
      </c>
      <c r="E330" s="18" t="s">
        <v>943</v>
      </c>
      <c r="F330" s="8"/>
      <c r="G330" s="18" t="s">
        <v>62</v>
      </c>
      <c r="H330" s="18" t="s">
        <v>944</v>
      </c>
      <c r="I330" s="23">
        <v>1</v>
      </c>
      <c r="J330" s="8"/>
      <c r="K330" s="8"/>
      <c r="L330" s="8"/>
      <c r="M330" s="8"/>
      <c r="N330" s="8"/>
      <c r="O330" s="8"/>
      <c r="P330" s="8"/>
      <c r="Q330" s="157"/>
      <c r="R330" s="8"/>
      <c r="S330" s="8"/>
      <c r="T330" s="8"/>
      <c r="U330" s="8"/>
      <c r="V330" s="8"/>
      <c r="W330" s="8"/>
      <c r="X330" s="8"/>
      <c r="Y330" s="8"/>
      <c r="Z330" s="8"/>
      <c r="AA330" s="8"/>
      <c r="AB330" s="8"/>
      <c r="AC330" s="314" t="str">
        <f t="shared" si="83"/>
        <v>yes</v>
      </c>
      <c r="AD330" s="314">
        <f>COUNTA(first:Last!R330)</f>
        <v>1</v>
      </c>
      <c r="AE330" s="157">
        <f>SUM(first:Last!Z330)</f>
        <v>0</v>
      </c>
      <c r="AF330" s="157" t="str">
        <f t="shared" si="84"/>
        <v>yes</v>
      </c>
      <c r="AG330" s="157">
        <f>COUNTA(Last:end!M330)</f>
        <v>2</v>
      </c>
      <c r="AH330" s="520">
        <f>COUNTA(Last:end!M330)/6</f>
        <v>0.33333333333333331</v>
      </c>
      <c r="AI330" s="157">
        <f>SUM(Last:end!O330)</f>
        <v>0</v>
      </c>
      <c r="AJ330" s="157">
        <f>MIN(Last:end!L330)</f>
        <v>0</v>
      </c>
      <c r="AK330" s="157" t="e">
        <f>IF(AND(AJ330&lt;=2023,#REF!="high interest / inadequate offer "),"yes","no")</f>
        <v>#REF!</v>
      </c>
      <c r="AL330" s="157" t="str">
        <f t="shared" si="80"/>
        <v>no</v>
      </c>
      <c r="AM330" s="157"/>
      <c r="AN330" s="157"/>
      <c r="AO330" s="157"/>
      <c r="AP330" s="157">
        <v>1</v>
      </c>
    </row>
    <row r="331" spans="1:209" ht="62.25" customHeight="1">
      <c r="A331" s="8" t="s">
        <v>22</v>
      </c>
      <c r="B331" s="31" t="s">
        <v>54</v>
      </c>
      <c r="C331" s="18" t="s">
        <v>928</v>
      </c>
      <c r="D331" s="18" t="s">
        <v>945</v>
      </c>
      <c r="E331" s="18" t="s">
        <v>946</v>
      </c>
      <c r="F331" s="8"/>
      <c r="G331" s="18" t="s">
        <v>62</v>
      </c>
      <c r="H331" s="18" t="s">
        <v>944</v>
      </c>
      <c r="I331" s="23">
        <v>1</v>
      </c>
      <c r="J331" s="8"/>
      <c r="K331" s="8"/>
      <c r="L331" s="8"/>
      <c r="M331" s="8"/>
      <c r="N331" s="8"/>
      <c r="O331" s="8"/>
      <c r="P331" s="8"/>
      <c r="Q331" s="157"/>
      <c r="R331" s="8"/>
      <c r="S331" s="8"/>
      <c r="T331" s="8"/>
      <c r="U331" s="8"/>
      <c r="V331" s="8"/>
      <c r="W331" s="8"/>
      <c r="X331" s="8"/>
      <c r="Y331" s="8"/>
      <c r="Z331" s="8"/>
      <c r="AA331" s="8"/>
      <c r="AB331" s="8"/>
      <c r="AC331" s="314" t="str">
        <f t="shared" si="83"/>
        <v>yes</v>
      </c>
      <c r="AD331" s="314">
        <f>COUNTA(first:Last!R331)</f>
        <v>1</v>
      </c>
      <c r="AE331" s="157">
        <f>SUM(first:Last!Z331)</f>
        <v>0</v>
      </c>
      <c r="AF331" s="157" t="str">
        <f t="shared" si="84"/>
        <v>yes</v>
      </c>
      <c r="AG331" s="157">
        <f>COUNTA(Last:end!M331)</f>
        <v>3</v>
      </c>
      <c r="AH331" s="520">
        <f>COUNTA(Last:end!M331)/6</f>
        <v>0.5</v>
      </c>
      <c r="AI331" s="157">
        <f>SUM(Last:end!O331)</f>
        <v>0</v>
      </c>
      <c r="AJ331" s="157">
        <f>MIN(Last:end!L331)</f>
        <v>2024</v>
      </c>
      <c r="AK331" s="157" t="e">
        <f>IF(AND(AJ331&lt;=2023,#REF!="high interest / inadequate offer "),"yes","no")</f>
        <v>#REF!</v>
      </c>
      <c r="AL331" s="157" t="str">
        <f t="shared" si="80"/>
        <v>no</v>
      </c>
      <c r="AM331" s="157"/>
      <c r="AN331" s="157"/>
      <c r="AO331" s="157"/>
      <c r="AP331" s="157">
        <v>1</v>
      </c>
    </row>
    <row r="332" spans="1:209" s="5" customFormat="1" ht="31.5">
      <c r="A332" s="20" t="s">
        <v>22</v>
      </c>
      <c r="B332" s="32" t="s">
        <v>54</v>
      </c>
      <c r="C332" s="24" t="s">
        <v>947</v>
      </c>
      <c r="D332" s="19" t="s">
        <v>582</v>
      </c>
      <c r="E332" s="24" t="s">
        <v>582</v>
      </c>
      <c r="F332" s="24" t="s">
        <v>582</v>
      </c>
      <c r="G332" s="19" t="s">
        <v>582</v>
      </c>
      <c r="H332" s="19" t="s">
        <v>582</v>
      </c>
      <c r="I332" s="19" t="s">
        <v>582</v>
      </c>
      <c r="J332" s="19" t="s">
        <v>582</v>
      </c>
      <c r="K332" s="19" t="s">
        <v>582</v>
      </c>
      <c r="L332" s="19" t="s">
        <v>582</v>
      </c>
      <c r="M332" s="19" t="s">
        <v>582</v>
      </c>
      <c r="N332" s="19" t="s">
        <v>582</v>
      </c>
      <c r="O332" s="19" t="s">
        <v>582</v>
      </c>
      <c r="P332" s="19" t="s">
        <v>582</v>
      </c>
      <c r="Q332" s="549"/>
      <c r="R332" s="19" t="s">
        <v>582</v>
      </c>
      <c r="S332" s="19" t="s">
        <v>582</v>
      </c>
      <c r="T332" s="19" t="s">
        <v>582</v>
      </c>
      <c r="U332" s="19"/>
      <c r="V332" s="19" t="s">
        <v>582</v>
      </c>
      <c r="W332" s="19" t="s">
        <v>582</v>
      </c>
      <c r="X332" s="19" t="s">
        <v>582</v>
      </c>
      <c r="Y332" s="19" t="s">
        <v>582</v>
      </c>
      <c r="Z332" s="19" t="s">
        <v>582</v>
      </c>
      <c r="AA332" s="19" t="s">
        <v>582</v>
      </c>
      <c r="AB332" s="19"/>
      <c r="AC332" s="157"/>
      <c r="AD332" s="157"/>
      <c r="AE332" s="157"/>
      <c r="AF332" s="157"/>
      <c r="AG332" s="157"/>
      <c r="AH332" s="157"/>
      <c r="AI332" s="157"/>
      <c r="AJ332" s="157"/>
      <c r="AK332" s="157"/>
      <c r="AL332" s="157"/>
      <c r="AM332" s="157"/>
      <c r="AN332" s="157"/>
      <c r="AO332" s="157"/>
      <c r="AP332" s="157">
        <v>0</v>
      </c>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row>
    <row r="333" spans="1:209" ht="62.25" customHeight="1">
      <c r="A333" s="8" t="s">
        <v>22</v>
      </c>
      <c r="B333" s="31" t="s">
        <v>195</v>
      </c>
      <c r="C333" s="18" t="s">
        <v>948</v>
      </c>
      <c r="D333" s="18" t="s">
        <v>949</v>
      </c>
      <c r="E333" s="18" t="s">
        <v>950</v>
      </c>
      <c r="F333" s="8"/>
      <c r="G333" s="18" t="s">
        <v>62</v>
      </c>
      <c r="H333" s="18" t="s">
        <v>951</v>
      </c>
      <c r="I333" s="23">
        <v>1</v>
      </c>
      <c r="J333" s="8"/>
      <c r="K333" s="8"/>
      <c r="L333" s="8"/>
      <c r="M333" s="8"/>
      <c r="N333" s="8"/>
      <c r="O333" s="8"/>
      <c r="P333" s="8"/>
      <c r="Q333" s="157"/>
      <c r="R333" s="8"/>
      <c r="S333" s="8"/>
      <c r="T333" s="8"/>
      <c r="U333" s="8"/>
      <c r="V333" s="8"/>
      <c r="W333" s="8"/>
      <c r="X333" s="8"/>
      <c r="Y333" s="8"/>
      <c r="Z333" s="8"/>
      <c r="AA333" s="8"/>
      <c r="AB333" s="8"/>
      <c r="AC333" s="314" t="str">
        <f t="shared" ref="AC333:AC334" si="85">IF(AD333&gt;0,"yes", "no")</f>
        <v>yes</v>
      </c>
      <c r="AD333" s="314">
        <f>COUNTA(first:Last!R333)</f>
        <v>1</v>
      </c>
      <c r="AE333" s="157">
        <f>SUM(first:Last!Z333)</f>
        <v>0</v>
      </c>
      <c r="AF333" s="157" t="str">
        <f t="shared" ref="AF333:AF334" si="86">IF(AH333&gt;0,"yes", "no")</f>
        <v>yes</v>
      </c>
      <c r="AG333" s="157">
        <f>COUNTA(Last:end!M333)</f>
        <v>1</v>
      </c>
      <c r="AH333" s="520">
        <f>COUNTA(Last:end!M333)/6</f>
        <v>0.16666666666666666</v>
      </c>
      <c r="AI333" s="157">
        <f>SUM(Last:end!O333)</f>
        <v>0</v>
      </c>
      <c r="AJ333" s="157">
        <f>MIN(Last:end!L333)</f>
        <v>2022</v>
      </c>
      <c r="AK333" s="157" t="e">
        <f>IF(AND(AJ333&lt;=2023,#REF!="high interest / inadequate offer "),"yes","no")</f>
        <v>#REF!</v>
      </c>
      <c r="AL333" s="157" t="str">
        <f>IF(AD333&gt;1,"yes", "no")</f>
        <v>no</v>
      </c>
      <c r="AM333" s="157"/>
      <c r="AN333" s="157"/>
      <c r="AO333" s="157"/>
      <c r="AP333" s="157">
        <v>1</v>
      </c>
    </row>
    <row r="334" spans="1:209" ht="62.25" customHeight="1">
      <c r="A334" s="8" t="s">
        <v>22</v>
      </c>
      <c r="B334" s="31" t="s">
        <v>195</v>
      </c>
      <c r="C334" s="18" t="s">
        <v>952</v>
      </c>
      <c r="D334" s="18" t="s">
        <v>953</v>
      </c>
      <c r="E334" s="18" t="s">
        <v>954</v>
      </c>
      <c r="F334" s="8"/>
      <c r="G334" s="18" t="s">
        <v>62</v>
      </c>
      <c r="H334" s="18" t="s">
        <v>955</v>
      </c>
      <c r="I334" s="23">
        <v>1</v>
      </c>
      <c r="J334" s="8"/>
      <c r="K334" s="8"/>
      <c r="L334" s="8"/>
      <c r="M334" s="8"/>
      <c r="N334" s="8"/>
      <c r="O334" s="8"/>
      <c r="P334" s="8"/>
      <c r="Q334" s="157"/>
      <c r="R334" s="8"/>
      <c r="S334" s="8"/>
      <c r="T334" s="8"/>
      <c r="U334" s="8"/>
      <c r="V334" s="8"/>
      <c r="W334" s="8"/>
      <c r="X334" s="8"/>
      <c r="Y334" s="8"/>
      <c r="Z334" s="8"/>
      <c r="AA334" s="8"/>
      <c r="AB334" s="8"/>
      <c r="AC334" s="314" t="str">
        <f t="shared" si="85"/>
        <v>yes</v>
      </c>
      <c r="AD334" s="314">
        <f>COUNTA(first:Last!R334)</f>
        <v>1</v>
      </c>
      <c r="AE334" s="157">
        <f>SUM(first:Last!Z334)</f>
        <v>0</v>
      </c>
      <c r="AF334" s="157" t="str">
        <f t="shared" si="86"/>
        <v>yes</v>
      </c>
      <c r="AG334" s="157">
        <f>COUNTA(Last:end!M334)</f>
        <v>1</v>
      </c>
      <c r="AH334" s="520">
        <f>COUNTA(Last:end!M334)/6</f>
        <v>0.16666666666666666</v>
      </c>
      <c r="AI334" s="157">
        <f>SUM(Last:end!O334)</f>
        <v>0</v>
      </c>
      <c r="AJ334" s="157">
        <f>MIN(Last:end!L334)</f>
        <v>0</v>
      </c>
      <c r="AK334" s="157" t="e">
        <f>IF(AND(AJ334&lt;=2023,#REF!="high interest / inadequate offer "),"yes","no")</f>
        <v>#REF!</v>
      </c>
      <c r="AL334" s="157" t="str">
        <f>IF(AD334&gt;1,"yes", "no")</f>
        <v>no</v>
      </c>
      <c r="AM334" s="157"/>
      <c r="AN334" s="157"/>
      <c r="AO334" s="157"/>
      <c r="AP334" s="157">
        <v>1</v>
      </c>
    </row>
    <row r="335" spans="1:209" s="5" customFormat="1" ht="47.25">
      <c r="A335" s="20" t="s">
        <v>22</v>
      </c>
      <c r="B335" s="32" t="s">
        <v>195</v>
      </c>
      <c r="C335" s="24" t="s">
        <v>956</v>
      </c>
      <c r="D335" s="19" t="s">
        <v>582</v>
      </c>
      <c r="E335" s="24" t="s">
        <v>582</v>
      </c>
      <c r="F335" s="24" t="s">
        <v>582</v>
      </c>
      <c r="G335" s="19" t="s">
        <v>582</v>
      </c>
      <c r="H335" s="19" t="s">
        <v>582</v>
      </c>
      <c r="I335" s="19" t="s">
        <v>582</v>
      </c>
      <c r="J335" s="19" t="s">
        <v>582</v>
      </c>
      <c r="K335" s="19" t="s">
        <v>582</v>
      </c>
      <c r="L335" s="19" t="s">
        <v>582</v>
      </c>
      <c r="M335" s="19" t="s">
        <v>582</v>
      </c>
      <c r="N335" s="19" t="s">
        <v>582</v>
      </c>
      <c r="O335" s="19" t="s">
        <v>582</v>
      </c>
      <c r="P335" s="19" t="s">
        <v>582</v>
      </c>
      <c r="Q335" s="549"/>
      <c r="R335" s="19" t="s">
        <v>582</v>
      </c>
      <c r="S335" s="19" t="s">
        <v>582</v>
      </c>
      <c r="T335" s="19" t="s">
        <v>582</v>
      </c>
      <c r="U335" s="19"/>
      <c r="V335" s="19" t="s">
        <v>582</v>
      </c>
      <c r="W335" s="19" t="s">
        <v>582</v>
      </c>
      <c r="X335" s="19" t="s">
        <v>582</v>
      </c>
      <c r="Y335" s="19" t="s">
        <v>582</v>
      </c>
      <c r="Z335" s="19" t="s">
        <v>582</v>
      </c>
      <c r="AA335" s="19" t="s">
        <v>582</v>
      </c>
      <c r="AB335" s="19"/>
      <c r="AC335" s="157"/>
      <c r="AD335" s="157"/>
      <c r="AE335" s="157"/>
      <c r="AF335" s="157"/>
      <c r="AG335" s="157"/>
      <c r="AH335" s="157"/>
      <c r="AI335" s="157"/>
      <c r="AJ335" s="157"/>
      <c r="AK335" s="157"/>
      <c r="AL335" s="157"/>
      <c r="AM335" s="157"/>
      <c r="AN335" s="157"/>
      <c r="AO335" s="157"/>
      <c r="AP335" s="157">
        <v>0</v>
      </c>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row>
    <row r="336" spans="1:209" ht="62.25" customHeight="1">
      <c r="A336" s="8" t="s">
        <v>22</v>
      </c>
      <c r="B336" s="31" t="s">
        <v>195</v>
      </c>
      <c r="C336" s="18" t="s">
        <v>957</v>
      </c>
      <c r="D336" s="18" t="s">
        <v>958</v>
      </c>
      <c r="E336" s="18" t="s">
        <v>959</v>
      </c>
      <c r="F336" s="8"/>
      <c r="G336" s="18" t="s">
        <v>62</v>
      </c>
      <c r="H336" s="18" t="s">
        <v>960</v>
      </c>
      <c r="I336" s="18" t="s">
        <v>671</v>
      </c>
      <c r="J336" s="8"/>
      <c r="K336" s="8"/>
      <c r="L336" s="8"/>
      <c r="M336" s="8"/>
      <c r="N336" s="8"/>
      <c r="O336" s="8"/>
      <c r="P336" s="8"/>
      <c r="Q336" s="157"/>
      <c r="R336" s="8"/>
      <c r="S336" s="8"/>
      <c r="T336" s="8"/>
      <c r="U336" s="8"/>
      <c r="V336" s="8"/>
      <c r="W336" s="8"/>
      <c r="X336" s="8"/>
      <c r="Y336" s="8"/>
      <c r="Z336" s="8"/>
      <c r="AA336" s="8"/>
      <c r="AB336" s="8"/>
      <c r="AC336" s="314" t="str">
        <f t="shared" ref="AC336:AC341" si="87">IF(AD336&gt;0,"yes", "no")</f>
        <v>yes</v>
      </c>
      <c r="AD336" s="314">
        <f>COUNTA(first:Last!R336)</f>
        <v>1</v>
      </c>
      <c r="AE336" s="157">
        <f>SUM(first:Last!Z336)</f>
        <v>76177.5</v>
      </c>
      <c r="AF336" s="157" t="str">
        <f t="shared" ref="AF336:AF341" si="88">IF(AH336&gt;0,"yes", "no")</f>
        <v>yes</v>
      </c>
      <c r="AG336" s="157">
        <f>COUNTA(Last:end!M336)</f>
        <v>1</v>
      </c>
      <c r="AH336" s="520">
        <f>COUNTA(Last:end!M336)/6</f>
        <v>0.16666666666666666</v>
      </c>
      <c r="AI336" s="157">
        <f>SUM(Last:end!O336)</f>
        <v>0</v>
      </c>
      <c r="AJ336" s="157">
        <f>MIN(Last:end!L336)</f>
        <v>2024</v>
      </c>
      <c r="AK336" s="157" t="e">
        <f>IF(AND(AJ336&lt;=2023,#REF!="high interest / inadequate offer "),"yes","no")</f>
        <v>#REF!</v>
      </c>
      <c r="AL336" s="157" t="str">
        <f t="shared" ref="AL336:AL341" si="89">IF(AD336&gt;1,"yes", "no")</f>
        <v>no</v>
      </c>
      <c r="AM336" s="157"/>
      <c r="AN336" s="157"/>
      <c r="AO336" s="157"/>
      <c r="AP336" s="157">
        <v>1</v>
      </c>
    </row>
    <row r="337" spans="1:209" ht="62.25"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8"/>
      <c r="Q337" s="157"/>
      <c r="R337" s="8"/>
      <c r="S337" s="8"/>
      <c r="T337" s="8"/>
      <c r="U337" s="8"/>
      <c r="V337" s="8"/>
      <c r="W337" s="8"/>
      <c r="X337" s="8"/>
      <c r="Y337" s="8"/>
      <c r="Z337" s="8"/>
      <c r="AA337" s="8"/>
      <c r="AB337" s="8"/>
      <c r="AC337" s="314" t="str">
        <f t="shared" si="87"/>
        <v>no</v>
      </c>
      <c r="AD337" s="314">
        <f>COUNTA(first:Last!R337)</f>
        <v>0</v>
      </c>
      <c r="AE337" s="157">
        <f>SUM(first:Last!Z337)</f>
        <v>0</v>
      </c>
      <c r="AF337" s="157" t="str">
        <f t="shared" si="88"/>
        <v>yes</v>
      </c>
      <c r="AG337" s="157">
        <f>COUNTA(Last:end!M337)</f>
        <v>3</v>
      </c>
      <c r="AH337" s="520">
        <f>COUNTA(Last:end!M337)/6</f>
        <v>0.5</v>
      </c>
      <c r="AI337" s="157">
        <f>SUM(Last:end!O337)</f>
        <v>3000</v>
      </c>
      <c r="AJ337" s="157">
        <f>MIN(Last:end!L337)</f>
        <v>0</v>
      </c>
      <c r="AK337" s="157" t="e">
        <f>IF(AND(AJ337&lt;=2023,#REF!="high interest / inadequate offer "),"yes","no")</f>
        <v>#REF!</v>
      </c>
      <c r="AL337" s="157" t="str">
        <f t="shared" si="89"/>
        <v>no</v>
      </c>
      <c r="AM337" s="157"/>
      <c r="AN337" s="157"/>
      <c r="AO337" s="157"/>
      <c r="AP337" s="157">
        <v>1</v>
      </c>
    </row>
    <row r="338" spans="1:209" ht="62.25"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8"/>
      <c r="Q338" s="157"/>
      <c r="R338" s="8"/>
      <c r="S338" s="8"/>
      <c r="T338" s="8"/>
      <c r="U338" s="8"/>
      <c r="V338" s="8"/>
      <c r="W338" s="8"/>
      <c r="X338" s="8"/>
      <c r="Y338" s="8"/>
      <c r="Z338" s="8"/>
      <c r="AA338" s="8"/>
      <c r="AB338" s="8"/>
      <c r="AC338" s="314" t="str">
        <f t="shared" si="87"/>
        <v>no</v>
      </c>
      <c r="AD338" s="314">
        <f>COUNTA(first:Last!R338)</f>
        <v>0</v>
      </c>
      <c r="AE338" s="157">
        <f>SUM(first:Last!Z338)</f>
        <v>0</v>
      </c>
      <c r="AF338" s="157" t="str">
        <f t="shared" si="88"/>
        <v>yes</v>
      </c>
      <c r="AG338" s="157">
        <f>COUNTA(Last:end!M338)</f>
        <v>3</v>
      </c>
      <c r="AH338" s="520">
        <f>COUNTA(Last:end!M338)/6</f>
        <v>0.5</v>
      </c>
      <c r="AI338" s="157">
        <f>SUM(Last:end!O338)</f>
        <v>0</v>
      </c>
      <c r="AJ338" s="157">
        <f>MIN(Last:end!L338)</f>
        <v>2023</v>
      </c>
      <c r="AK338" s="157" t="e">
        <f>IF(AND(AJ338&lt;=2023,#REF!="high interest / inadequate offer "),"yes","no")</f>
        <v>#REF!</v>
      </c>
      <c r="AL338" s="157" t="str">
        <f t="shared" si="89"/>
        <v>no</v>
      </c>
      <c r="AM338" s="157"/>
      <c r="AN338" s="157"/>
      <c r="AO338" s="157"/>
      <c r="AP338" s="157">
        <v>1</v>
      </c>
    </row>
    <row r="339" spans="1:209" ht="62.25" customHeight="1">
      <c r="A339" s="8" t="s">
        <v>22</v>
      </c>
      <c r="B339" s="31" t="s">
        <v>195</v>
      </c>
      <c r="C339" s="18" t="s">
        <v>957</v>
      </c>
      <c r="D339" s="18" t="s">
        <v>965</v>
      </c>
      <c r="E339" s="18" t="s">
        <v>966</v>
      </c>
      <c r="F339" s="8"/>
      <c r="G339" s="18" t="s">
        <v>62</v>
      </c>
      <c r="H339" s="18" t="s">
        <v>967</v>
      </c>
      <c r="I339" s="18" t="s">
        <v>968</v>
      </c>
      <c r="J339" s="8"/>
      <c r="K339" s="8"/>
      <c r="L339" s="8"/>
      <c r="M339" s="8"/>
      <c r="N339" s="8"/>
      <c r="O339" s="8"/>
      <c r="P339" s="8"/>
      <c r="Q339" s="157"/>
      <c r="R339" s="8"/>
      <c r="S339" s="8"/>
      <c r="T339" s="8"/>
      <c r="U339" s="8"/>
      <c r="V339" s="8"/>
      <c r="W339" s="8"/>
      <c r="X339" s="8"/>
      <c r="Y339" s="8"/>
      <c r="Z339" s="8"/>
      <c r="AA339" s="8"/>
      <c r="AB339" s="8"/>
      <c r="AC339" s="314" t="str">
        <f t="shared" si="87"/>
        <v>no</v>
      </c>
      <c r="AD339" s="314">
        <f>COUNTA(first:Last!R339)</f>
        <v>0</v>
      </c>
      <c r="AE339" s="157">
        <f>SUM(first:Last!Z339)</f>
        <v>0</v>
      </c>
      <c r="AF339" s="157" t="str">
        <f t="shared" si="88"/>
        <v>yes</v>
      </c>
      <c r="AG339" s="157">
        <f>COUNTA(Last:end!M339)</f>
        <v>2</v>
      </c>
      <c r="AH339" s="520">
        <f>COUNTA(Last:end!M339)/6</f>
        <v>0.33333333333333331</v>
      </c>
      <c r="AI339" s="157">
        <f>SUM(Last:end!O339)</f>
        <v>0</v>
      </c>
      <c r="AJ339" s="157">
        <f>MIN(Last:end!L339)</f>
        <v>2023</v>
      </c>
      <c r="AK339" s="157" t="e">
        <f>IF(AND(AJ339&lt;=2023,#REF!="high interest / inadequate offer "),"yes","no")</f>
        <v>#REF!</v>
      </c>
      <c r="AL339" s="157" t="str">
        <f t="shared" si="89"/>
        <v>no</v>
      </c>
      <c r="AM339" s="157"/>
      <c r="AN339" s="157"/>
      <c r="AO339" s="157"/>
      <c r="AP339" s="157">
        <v>1</v>
      </c>
    </row>
    <row r="340" spans="1:209" ht="62.25"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8"/>
      <c r="Q340" s="157"/>
      <c r="R340" s="8"/>
      <c r="S340" s="8"/>
      <c r="T340" s="8"/>
      <c r="U340" s="8"/>
      <c r="V340" s="8"/>
      <c r="W340" s="8"/>
      <c r="X340" s="8"/>
      <c r="Y340" s="8"/>
      <c r="Z340" s="8"/>
      <c r="AA340" s="8"/>
      <c r="AB340" s="8"/>
      <c r="AC340" s="314" t="str">
        <f t="shared" si="87"/>
        <v>no</v>
      </c>
      <c r="AD340" s="314">
        <f>COUNTA(first:Last!R340)</f>
        <v>0</v>
      </c>
      <c r="AE340" s="157">
        <f>SUM(first:Last!Z340)</f>
        <v>0</v>
      </c>
      <c r="AF340" s="157" t="str">
        <f t="shared" si="88"/>
        <v>yes</v>
      </c>
      <c r="AG340" s="157">
        <f>COUNTA(Last:end!M340)</f>
        <v>1</v>
      </c>
      <c r="AH340" s="520">
        <f>COUNTA(Last:end!M340)/6</f>
        <v>0.16666666666666666</v>
      </c>
      <c r="AI340" s="157">
        <f>SUM(Last:end!O340)</f>
        <v>0</v>
      </c>
      <c r="AJ340" s="157">
        <f>MIN(Last:end!L340)</f>
        <v>2022</v>
      </c>
      <c r="AK340" s="157" t="e">
        <f>IF(AND(AJ340&lt;=2023,#REF!="high interest / inadequate offer "),"yes","no")</f>
        <v>#REF!</v>
      </c>
      <c r="AL340" s="157" t="str">
        <f t="shared" si="89"/>
        <v>no</v>
      </c>
      <c r="AM340" s="157"/>
      <c r="AN340" s="157"/>
      <c r="AO340" s="157"/>
      <c r="AP340" s="157">
        <v>1</v>
      </c>
    </row>
    <row r="341" spans="1:209" ht="62.25" customHeight="1">
      <c r="A341" s="8" t="s">
        <v>22</v>
      </c>
      <c r="B341" s="31" t="s">
        <v>274</v>
      </c>
      <c r="C341" s="18" t="s">
        <v>971</v>
      </c>
      <c r="D341" s="18" t="s">
        <v>972</v>
      </c>
      <c r="E341" s="18" t="s">
        <v>973</v>
      </c>
      <c r="F341" s="8"/>
      <c r="G341" s="18" t="s">
        <v>62</v>
      </c>
      <c r="H341" s="18" t="s">
        <v>974</v>
      </c>
      <c r="I341" s="23">
        <v>1</v>
      </c>
      <c r="J341" s="8"/>
      <c r="K341" s="8"/>
      <c r="L341" s="8"/>
      <c r="M341" s="8"/>
      <c r="N341" s="8"/>
      <c r="O341" s="8"/>
      <c r="P341" s="8"/>
      <c r="Q341" s="157"/>
      <c r="R341" s="8"/>
      <c r="S341" s="8"/>
      <c r="T341" s="8"/>
      <c r="U341" s="8"/>
      <c r="V341" s="8"/>
      <c r="W341" s="8"/>
      <c r="X341" s="8"/>
      <c r="Y341" s="8"/>
      <c r="Z341" s="8"/>
      <c r="AA341" s="8"/>
      <c r="AB341" s="8"/>
      <c r="AC341" s="314" t="str">
        <f t="shared" si="87"/>
        <v>yes</v>
      </c>
      <c r="AD341" s="314">
        <f>COUNTA(first:Last!R341)</f>
        <v>1</v>
      </c>
      <c r="AE341" s="157">
        <f>SUM(first:Last!Z341)</f>
        <v>0</v>
      </c>
      <c r="AF341" s="157" t="str">
        <f t="shared" si="88"/>
        <v>yes</v>
      </c>
      <c r="AG341" s="157">
        <f>COUNTA(Last:end!M341)</f>
        <v>2</v>
      </c>
      <c r="AH341" s="520">
        <f>COUNTA(Last:end!M341)/6</f>
        <v>0.33333333333333331</v>
      </c>
      <c r="AI341" s="157">
        <f>SUM(Last:end!O341)</f>
        <v>0</v>
      </c>
      <c r="AJ341" s="157">
        <f>MIN(Last:end!L341)</f>
        <v>0</v>
      </c>
      <c r="AK341" s="157" t="e">
        <f>IF(AND(AJ341&lt;=2023,#REF!="high interest / inadequate offer "),"yes","no")</f>
        <v>#REF!</v>
      </c>
      <c r="AL341" s="157" t="str">
        <f t="shared" si="89"/>
        <v>no</v>
      </c>
      <c r="AM341" s="157"/>
      <c r="AN341" s="157"/>
      <c r="AO341" s="157"/>
      <c r="AP341" s="157">
        <v>1</v>
      </c>
    </row>
    <row r="342" spans="1:209" s="5" customFormat="1" ht="78.75">
      <c r="A342" s="20" t="s">
        <v>22</v>
      </c>
      <c r="B342" s="32" t="s">
        <v>274</v>
      </c>
      <c r="C342" s="24" t="s">
        <v>975</v>
      </c>
      <c r="D342" s="24" t="s">
        <v>582</v>
      </c>
      <c r="E342" s="24" t="s">
        <v>582</v>
      </c>
      <c r="F342" s="24" t="s">
        <v>582</v>
      </c>
      <c r="G342" s="24" t="s">
        <v>582</v>
      </c>
      <c r="H342" s="24" t="s">
        <v>582</v>
      </c>
      <c r="I342" s="24" t="s">
        <v>582</v>
      </c>
      <c r="J342" s="20"/>
      <c r="K342" s="20"/>
      <c r="L342" s="20"/>
      <c r="M342" s="20"/>
      <c r="N342" s="20"/>
      <c r="O342" s="20"/>
      <c r="P342" s="20"/>
      <c r="Q342" s="157"/>
      <c r="R342" s="20"/>
      <c r="S342" s="20"/>
      <c r="T342" s="20"/>
      <c r="U342" s="20"/>
      <c r="V342" s="20"/>
      <c r="W342" s="20"/>
      <c r="X342" s="20"/>
      <c r="Y342" s="20"/>
      <c r="Z342" s="20"/>
      <c r="AA342" s="20"/>
      <c r="AB342" s="20"/>
      <c r="AC342" s="157"/>
      <c r="AD342" s="157"/>
      <c r="AE342" s="157"/>
      <c r="AF342" s="157"/>
      <c r="AG342" s="157"/>
      <c r="AH342" s="157"/>
      <c r="AI342" s="157"/>
      <c r="AJ342" s="157"/>
      <c r="AK342" s="157"/>
      <c r="AL342" s="157"/>
      <c r="AM342" s="157"/>
      <c r="AN342" s="157"/>
      <c r="AO342" s="157"/>
      <c r="AP342" s="157">
        <v>0</v>
      </c>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row>
    <row r="343" spans="1:209" s="5" customFormat="1" ht="47.25">
      <c r="A343" s="20" t="s">
        <v>22</v>
      </c>
      <c r="B343" s="32" t="s">
        <v>274</v>
      </c>
      <c r="C343" s="24" t="s">
        <v>976</v>
      </c>
      <c r="D343" s="24" t="s">
        <v>582</v>
      </c>
      <c r="E343" s="24" t="s">
        <v>582</v>
      </c>
      <c r="F343" s="24" t="s">
        <v>582</v>
      </c>
      <c r="G343" s="24" t="s">
        <v>582</v>
      </c>
      <c r="H343" s="24" t="s">
        <v>582</v>
      </c>
      <c r="I343" s="24" t="s">
        <v>582</v>
      </c>
      <c r="J343" s="20"/>
      <c r="K343" s="20"/>
      <c r="L343" s="20"/>
      <c r="M343" s="20"/>
      <c r="N343" s="20"/>
      <c r="O343" s="20"/>
      <c r="P343" s="20"/>
      <c r="Q343" s="157"/>
      <c r="R343" s="20"/>
      <c r="S343" s="20"/>
      <c r="T343" s="20"/>
      <c r="U343" s="20"/>
      <c r="V343" s="20"/>
      <c r="W343" s="20"/>
      <c r="X343" s="20"/>
      <c r="Y343" s="20"/>
      <c r="Z343" s="20"/>
      <c r="AA343" s="20"/>
      <c r="AB343" s="20"/>
      <c r="AC343" s="157"/>
      <c r="AD343" s="157"/>
      <c r="AE343" s="157"/>
      <c r="AF343" s="157"/>
      <c r="AG343" s="157"/>
      <c r="AH343" s="157"/>
      <c r="AI343" s="157"/>
      <c r="AJ343" s="157"/>
      <c r="AK343" s="157"/>
      <c r="AL343" s="157"/>
      <c r="AM343" s="157"/>
      <c r="AN343" s="157"/>
      <c r="AO343" s="157"/>
      <c r="AP343" s="157">
        <v>0</v>
      </c>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row>
    <row r="344" spans="1:209" ht="62.25" customHeight="1">
      <c r="A344" s="8" t="s">
        <v>22</v>
      </c>
      <c r="B344" s="31" t="s">
        <v>274</v>
      </c>
      <c r="C344" s="18" t="s">
        <v>977</v>
      </c>
      <c r="D344" s="18" t="s">
        <v>978</v>
      </c>
      <c r="E344" s="18" t="s">
        <v>979</v>
      </c>
      <c r="F344" s="8"/>
      <c r="G344" s="18" t="s">
        <v>62</v>
      </c>
      <c r="H344" s="18" t="s">
        <v>980</v>
      </c>
      <c r="I344" s="23">
        <v>0.8</v>
      </c>
      <c r="J344" s="8"/>
      <c r="K344" s="8"/>
      <c r="L344" s="8"/>
      <c r="M344" s="8"/>
      <c r="N344" s="8"/>
      <c r="O344" s="8"/>
      <c r="P344" s="8"/>
      <c r="Q344" s="157"/>
      <c r="R344" s="8"/>
      <c r="S344" s="8"/>
      <c r="T344" s="8"/>
      <c r="U344" s="8"/>
      <c r="V344" s="8"/>
      <c r="W344" s="8"/>
      <c r="X344" s="8"/>
      <c r="Y344" s="8"/>
      <c r="Z344" s="8"/>
      <c r="AA344" s="8"/>
      <c r="AB344" s="8"/>
      <c r="AC344" s="314" t="str">
        <f t="shared" ref="AC344:AC345" si="90">IF(AD344&gt;0,"yes", "no")</f>
        <v>no</v>
      </c>
      <c r="AD344" s="314">
        <f>COUNTA(first:Last!R344)</f>
        <v>0</v>
      </c>
      <c r="AE344" s="157">
        <f>SUM(first:Last!Z344)</f>
        <v>0</v>
      </c>
      <c r="AF344" s="157" t="str">
        <f t="shared" ref="AF344:AF345" si="91">IF(AH344&gt;0,"yes", "no")</f>
        <v>yes</v>
      </c>
      <c r="AG344" s="157">
        <f>COUNTA(Last:end!M344)</f>
        <v>1</v>
      </c>
      <c r="AH344" s="520">
        <f>COUNTA(Last:end!M344)/6</f>
        <v>0.16666666666666666</v>
      </c>
      <c r="AI344" s="157">
        <f>SUM(Last:end!O344)</f>
        <v>0</v>
      </c>
      <c r="AJ344" s="157">
        <f>MIN(Last:end!L344)</f>
        <v>0</v>
      </c>
      <c r="AK344" s="157" t="e">
        <f>IF(AND(AJ344&lt;=2023,#REF!="high interest / inadequate offer "),"yes","no")</f>
        <v>#REF!</v>
      </c>
      <c r="AL344" s="157" t="str">
        <f t="shared" ref="AL344:AL381" si="92">IF(AD344&gt;1,"yes", "no")</f>
        <v>no</v>
      </c>
      <c r="AM344" s="157"/>
      <c r="AN344" s="157"/>
      <c r="AO344" s="157"/>
      <c r="AP344" s="157">
        <v>1</v>
      </c>
    </row>
    <row r="345" spans="1:209" ht="62.25" customHeight="1">
      <c r="A345" s="8" t="s">
        <v>22</v>
      </c>
      <c r="B345" s="31" t="s">
        <v>274</v>
      </c>
      <c r="C345" s="18" t="s">
        <v>977</v>
      </c>
      <c r="D345" s="18" t="s">
        <v>981</v>
      </c>
      <c r="E345" s="18" t="s">
        <v>982</v>
      </c>
      <c r="F345" s="8"/>
      <c r="G345" s="18" t="s">
        <v>62</v>
      </c>
      <c r="H345" s="18" t="s">
        <v>983</v>
      </c>
      <c r="I345" s="18" t="s">
        <v>110</v>
      </c>
      <c r="J345" s="8"/>
      <c r="K345" s="8"/>
      <c r="L345" s="8"/>
      <c r="M345" s="8"/>
      <c r="N345" s="8"/>
      <c r="O345" s="8"/>
      <c r="P345" s="8"/>
      <c r="Q345" s="157"/>
      <c r="R345" s="8"/>
      <c r="S345" s="8"/>
      <c r="T345" s="8"/>
      <c r="U345" s="8"/>
      <c r="V345" s="8"/>
      <c r="W345" s="8"/>
      <c r="X345" s="8"/>
      <c r="Y345" s="8"/>
      <c r="Z345" s="8"/>
      <c r="AA345" s="8"/>
      <c r="AB345" s="8"/>
      <c r="AC345" s="314" t="str">
        <f t="shared" si="90"/>
        <v>yes</v>
      </c>
      <c r="AD345" s="314">
        <f>COUNTA(first:Last!R345)</f>
        <v>1</v>
      </c>
      <c r="AE345" s="157">
        <f>SUM(first:Last!Z345)</f>
        <v>0</v>
      </c>
      <c r="AF345" s="157" t="str">
        <f t="shared" si="91"/>
        <v>yes</v>
      </c>
      <c r="AG345" s="157">
        <f>COUNTA(Last:end!M345)</f>
        <v>1</v>
      </c>
      <c r="AH345" s="520">
        <f>COUNTA(Last:end!M345)/6</f>
        <v>0.16666666666666666</v>
      </c>
      <c r="AI345" s="157">
        <f>SUM(Last:end!O345)</f>
        <v>0</v>
      </c>
      <c r="AJ345" s="157">
        <f>MIN(Last:end!L345)</f>
        <v>0</v>
      </c>
      <c r="AK345" s="157" t="e">
        <f>IF(AND(AJ345&lt;=2023,#REF!="high interest / inadequate offer "),"yes","no")</f>
        <v>#REF!</v>
      </c>
      <c r="AL345" s="157" t="str">
        <f t="shared" si="92"/>
        <v>no</v>
      </c>
      <c r="AM345" s="157"/>
      <c r="AN345" s="157"/>
      <c r="AO345" s="157"/>
      <c r="AP345" s="157">
        <v>1</v>
      </c>
    </row>
    <row r="346" spans="1:209" ht="62.25" customHeight="1">
      <c r="A346" s="8" t="s">
        <v>22</v>
      </c>
      <c r="B346" s="31" t="s">
        <v>587</v>
      </c>
      <c r="C346" s="18" t="s">
        <v>984</v>
      </c>
      <c r="D346" s="18" t="s">
        <v>985</v>
      </c>
      <c r="E346" s="18" t="s">
        <v>986</v>
      </c>
      <c r="F346" s="8"/>
      <c r="G346" s="24" t="s">
        <v>62</v>
      </c>
      <c r="H346" s="24" t="s">
        <v>591</v>
      </c>
      <c r="I346" s="25">
        <v>1</v>
      </c>
      <c r="J346" s="20"/>
      <c r="K346" s="20"/>
      <c r="L346" s="20"/>
      <c r="M346" s="20"/>
      <c r="N346" s="20"/>
      <c r="O346" s="20"/>
      <c r="P346" s="20"/>
      <c r="Q346" s="157"/>
      <c r="R346" s="20"/>
      <c r="S346" s="20"/>
      <c r="T346" s="20"/>
      <c r="U346" s="20"/>
      <c r="V346" s="20"/>
      <c r="W346" s="20"/>
      <c r="X346" s="20"/>
      <c r="Y346" s="20"/>
      <c r="Z346" s="20"/>
      <c r="AA346" s="20"/>
      <c r="AB346" s="20"/>
      <c r="AC346" s="65"/>
      <c r="AD346" s="65"/>
      <c r="AE346" s="65"/>
      <c r="AF346" s="65"/>
      <c r="AG346" s="157">
        <f>COUNTA(Last:end!M346)</f>
        <v>0</v>
      </c>
      <c r="AH346" s="520">
        <f>COUNTA(Last:end!M346)/6</f>
        <v>0</v>
      </c>
      <c r="AI346" s="65"/>
      <c r="AJ346" s="157">
        <f>MIN(Last:end!L346)</f>
        <v>0</v>
      </c>
      <c r="AK346" s="157" t="e">
        <f>IF(AND(AJ346&lt;=2023,#REF!="high interest / inadequate offer "),"yes","no")</f>
        <v>#REF!</v>
      </c>
      <c r="AL346" s="157" t="str">
        <f t="shared" si="92"/>
        <v>no</v>
      </c>
      <c r="AM346" s="157"/>
      <c r="AN346" s="157"/>
      <c r="AO346" s="157"/>
      <c r="AP346" s="157">
        <v>0</v>
      </c>
    </row>
    <row r="347" spans="1:209" ht="62.25" customHeight="1">
      <c r="A347" s="8" t="s">
        <v>22</v>
      </c>
      <c r="B347" s="31" t="s">
        <v>587</v>
      </c>
      <c r="C347" s="18" t="s">
        <v>984</v>
      </c>
      <c r="D347" s="18" t="s">
        <v>987</v>
      </c>
      <c r="E347" s="69" t="s">
        <v>988</v>
      </c>
      <c r="F347" s="8"/>
      <c r="G347" s="18" t="s">
        <v>62</v>
      </c>
      <c r="H347" s="18" t="s">
        <v>591</v>
      </c>
      <c r="I347" s="23">
        <v>1</v>
      </c>
      <c r="J347" s="8"/>
      <c r="K347" s="8"/>
      <c r="L347" s="8"/>
      <c r="M347" s="8"/>
      <c r="N347" s="8"/>
      <c r="O347" s="8"/>
      <c r="P347" s="8"/>
      <c r="Q347" s="157"/>
      <c r="R347" s="8"/>
      <c r="S347" s="8"/>
      <c r="T347" s="8"/>
      <c r="U347" s="8"/>
      <c r="V347" s="8"/>
      <c r="W347" s="8"/>
      <c r="X347" s="8"/>
      <c r="Y347" s="8"/>
      <c r="Z347" s="8"/>
      <c r="AA347" s="8"/>
      <c r="AB347" s="8"/>
      <c r="AC347" s="314" t="str">
        <f t="shared" ref="AC347:AC375" si="93">IF(AD347&gt;0,"yes", "no")</f>
        <v>yes</v>
      </c>
      <c r="AD347" s="314">
        <f>COUNTA(first:Last!R347)</f>
        <v>1</v>
      </c>
      <c r="AE347" s="157">
        <f>SUM(first:Last!Z347)</f>
        <v>0</v>
      </c>
      <c r="AF347" s="157" t="str">
        <f t="shared" ref="AF347:AF375" si="94">IF(AH347&gt;0,"yes", "no")</f>
        <v>yes</v>
      </c>
      <c r="AG347" s="157">
        <f>COUNTA(Last:end!M347)</f>
        <v>1</v>
      </c>
      <c r="AH347" s="520">
        <f>COUNTA(Last:end!M347)/6</f>
        <v>0.16666666666666666</v>
      </c>
      <c r="AI347" s="157">
        <f>SUM(Last:end!O347)</f>
        <v>0</v>
      </c>
      <c r="AJ347" s="157">
        <f>MIN(Last:end!L347)</f>
        <v>2023</v>
      </c>
      <c r="AK347" s="157" t="e">
        <f>IF(AND(AJ347&lt;=2023,#REF!="high interest / inadequate offer "),"yes","no")</f>
        <v>#REF!</v>
      </c>
      <c r="AL347" s="157" t="str">
        <f t="shared" si="92"/>
        <v>no</v>
      </c>
      <c r="AM347" s="157"/>
      <c r="AN347" s="157"/>
      <c r="AO347" s="157"/>
      <c r="AP347" s="157">
        <v>1</v>
      </c>
    </row>
    <row r="348" spans="1:209" ht="62.25" customHeight="1">
      <c r="A348" s="8" t="s">
        <v>22</v>
      </c>
      <c r="B348" s="31" t="s">
        <v>587</v>
      </c>
      <c r="C348" s="18" t="s">
        <v>984</v>
      </c>
      <c r="D348" s="18" t="s">
        <v>989</v>
      </c>
      <c r="E348" s="69" t="s">
        <v>990</v>
      </c>
      <c r="F348" s="8"/>
      <c r="G348" s="18" t="s">
        <v>62</v>
      </c>
      <c r="H348" s="18" t="s">
        <v>591</v>
      </c>
      <c r="I348" s="23">
        <v>1</v>
      </c>
      <c r="J348" s="8"/>
      <c r="K348" s="8"/>
      <c r="L348" s="8"/>
      <c r="M348" s="8"/>
      <c r="N348" s="8"/>
      <c r="O348" s="8"/>
      <c r="P348" s="8"/>
      <c r="Q348" s="157"/>
      <c r="R348" s="8"/>
      <c r="S348" s="8"/>
      <c r="T348" s="8"/>
      <c r="U348" s="8"/>
      <c r="V348" s="8"/>
      <c r="W348" s="8"/>
      <c r="X348" s="8"/>
      <c r="Y348" s="8"/>
      <c r="Z348" s="8"/>
      <c r="AA348" s="8"/>
      <c r="AB348" s="8"/>
      <c r="AC348" s="314" t="str">
        <f t="shared" si="93"/>
        <v>yes</v>
      </c>
      <c r="AD348" s="314">
        <f>COUNTA(first:Last!R348)</f>
        <v>1</v>
      </c>
      <c r="AE348" s="157">
        <f>SUM(first:Last!Z348)</f>
        <v>0</v>
      </c>
      <c r="AF348" s="157" t="str">
        <f t="shared" si="94"/>
        <v>yes</v>
      </c>
      <c r="AG348" s="157">
        <f>COUNTA(Last:end!M348)</f>
        <v>2</v>
      </c>
      <c r="AH348" s="520">
        <f>COUNTA(Last:end!M348)/6</f>
        <v>0.33333333333333331</v>
      </c>
      <c r="AI348" s="157">
        <f>SUM(Last:end!O348)</f>
        <v>0</v>
      </c>
      <c r="AJ348" s="157">
        <f>MIN(Last:end!L348)</f>
        <v>2023</v>
      </c>
      <c r="AK348" s="157" t="e">
        <f>IF(AND(AJ348&lt;=2023,#REF!="high interest / inadequate offer "),"yes","no")</f>
        <v>#REF!</v>
      </c>
      <c r="AL348" s="157" t="str">
        <f t="shared" si="92"/>
        <v>no</v>
      </c>
      <c r="AM348" s="157"/>
      <c r="AN348" s="157"/>
      <c r="AO348" s="157"/>
      <c r="AP348" s="157">
        <v>1</v>
      </c>
    </row>
    <row r="349" spans="1:209" ht="62.25" customHeight="1">
      <c r="A349" s="8" t="s">
        <v>22</v>
      </c>
      <c r="B349" s="31" t="s">
        <v>587</v>
      </c>
      <c r="C349" s="18" t="s">
        <v>984</v>
      </c>
      <c r="D349" s="18" t="s">
        <v>991</v>
      </c>
      <c r="E349" s="69" t="s">
        <v>992</v>
      </c>
      <c r="F349" s="8"/>
      <c r="G349" s="18" t="s">
        <v>62</v>
      </c>
      <c r="H349" s="18" t="s">
        <v>591</v>
      </c>
      <c r="I349" s="23">
        <v>1</v>
      </c>
      <c r="J349" s="8"/>
      <c r="K349" s="8"/>
      <c r="L349" s="8"/>
      <c r="M349" s="8"/>
      <c r="N349" s="8"/>
      <c r="O349" s="8"/>
      <c r="P349" s="8"/>
      <c r="Q349" s="157"/>
      <c r="R349" s="8"/>
      <c r="S349" s="8"/>
      <c r="T349" s="8"/>
      <c r="U349" s="8"/>
      <c r="V349" s="8"/>
      <c r="W349" s="8"/>
      <c r="X349" s="8"/>
      <c r="Y349" s="8"/>
      <c r="Z349" s="8"/>
      <c r="AA349" s="8"/>
      <c r="AB349" s="8"/>
      <c r="AC349" s="314" t="str">
        <f t="shared" si="93"/>
        <v>yes</v>
      </c>
      <c r="AD349" s="314">
        <f>COUNTA(first:Last!R349)</f>
        <v>1</v>
      </c>
      <c r="AE349" s="157">
        <f>SUM(first:Last!Z349)</f>
        <v>0</v>
      </c>
      <c r="AF349" s="157" t="str">
        <f t="shared" si="94"/>
        <v>yes</v>
      </c>
      <c r="AG349" s="157">
        <f>COUNTA(Last:end!M349)</f>
        <v>2</v>
      </c>
      <c r="AH349" s="520">
        <f>COUNTA(Last:end!M349)/6</f>
        <v>0.33333333333333331</v>
      </c>
      <c r="AI349" s="157">
        <f>SUM(Last:end!O349)</f>
        <v>0</v>
      </c>
      <c r="AJ349" s="157">
        <f>MIN(Last:end!L349)</f>
        <v>2023</v>
      </c>
      <c r="AK349" s="157" t="e">
        <f>IF(AND(AJ349&lt;=2023,#REF!="high interest / inadequate offer "),"yes","no")</f>
        <v>#REF!</v>
      </c>
      <c r="AL349" s="157" t="str">
        <f t="shared" si="92"/>
        <v>no</v>
      </c>
      <c r="AM349" s="157"/>
      <c r="AN349" s="157"/>
      <c r="AO349" s="157"/>
      <c r="AP349" s="157">
        <v>1</v>
      </c>
    </row>
    <row r="350" spans="1:209" ht="62.25" customHeight="1">
      <c r="A350" s="8" t="s">
        <v>22</v>
      </c>
      <c r="B350" s="31" t="s">
        <v>587</v>
      </c>
      <c r="C350" s="18" t="s">
        <v>984</v>
      </c>
      <c r="D350" s="18" t="s">
        <v>993</v>
      </c>
      <c r="E350" s="69" t="s">
        <v>994</v>
      </c>
      <c r="F350" s="8"/>
      <c r="G350" s="18" t="s">
        <v>62</v>
      </c>
      <c r="H350" s="18" t="s">
        <v>591</v>
      </c>
      <c r="I350" s="23">
        <v>1</v>
      </c>
      <c r="J350" s="8"/>
      <c r="K350" s="8"/>
      <c r="L350" s="8"/>
      <c r="M350" s="8"/>
      <c r="N350" s="8"/>
      <c r="O350" s="8"/>
      <c r="P350" s="8"/>
      <c r="Q350" s="157"/>
      <c r="R350" s="8"/>
      <c r="S350" s="8"/>
      <c r="T350" s="8"/>
      <c r="U350" s="8"/>
      <c r="V350" s="8"/>
      <c r="W350" s="8"/>
      <c r="X350" s="8"/>
      <c r="Y350" s="8"/>
      <c r="Z350" s="8"/>
      <c r="AA350" s="8"/>
      <c r="AB350" s="8"/>
      <c r="AC350" s="314" t="str">
        <f t="shared" si="93"/>
        <v>yes</v>
      </c>
      <c r="AD350" s="314">
        <f>COUNTA(first:Last!R350)</f>
        <v>1</v>
      </c>
      <c r="AE350" s="157">
        <f>SUM(first:Last!Z350)</f>
        <v>0</v>
      </c>
      <c r="AF350" s="157" t="str">
        <f t="shared" si="94"/>
        <v>yes</v>
      </c>
      <c r="AG350" s="157">
        <f>COUNTA(Last:end!M350)</f>
        <v>3</v>
      </c>
      <c r="AH350" s="520">
        <f>COUNTA(Last:end!M350)/6</f>
        <v>0.5</v>
      </c>
      <c r="AI350" s="157">
        <f>SUM(Last:end!O350)</f>
        <v>0</v>
      </c>
      <c r="AJ350" s="157">
        <f>MIN(Last:end!L350)</f>
        <v>2023</v>
      </c>
      <c r="AK350" s="157" t="e">
        <f>IF(AND(AJ350&lt;=2023,#REF!="high interest / inadequate offer "),"yes","no")</f>
        <v>#REF!</v>
      </c>
      <c r="AL350" s="157" t="str">
        <f t="shared" si="92"/>
        <v>no</v>
      </c>
      <c r="AM350" s="157"/>
      <c r="AN350" s="157"/>
      <c r="AO350" s="157"/>
      <c r="AP350" s="157">
        <v>1</v>
      </c>
    </row>
    <row r="351" spans="1:209" ht="62.25" customHeight="1">
      <c r="A351" s="8" t="s">
        <v>22</v>
      </c>
      <c r="B351" s="31" t="s">
        <v>587</v>
      </c>
      <c r="C351" s="18" t="s">
        <v>984</v>
      </c>
      <c r="D351" s="18" t="s">
        <v>995</v>
      </c>
      <c r="E351" s="69" t="s">
        <v>996</v>
      </c>
      <c r="F351" s="8"/>
      <c r="G351" s="18" t="s">
        <v>62</v>
      </c>
      <c r="H351" s="18" t="s">
        <v>591</v>
      </c>
      <c r="I351" s="23">
        <v>1</v>
      </c>
      <c r="J351" s="8"/>
      <c r="K351" s="8"/>
      <c r="L351" s="8"/>
      <c r="M351" s="8"/>
      <c r="N351" s="8"/>
      <c r="O351" s="8"/>
      <c r="P351" s="8"/>
      <c r="Q351" s="157"/>
      <c r="R351" s="8"/>
      <c r="S351" s="8"/>
      <c r="T351" s="8"/>
      <c r="U351" s="8"/>
      <c r="V351" s="8"/>
      <c r="W351" s="8"/>
      <c r="X351" s="8"/>
      <c r="Y351" s="8"/>
      <c r="Z351" s="8"/>
      <c r="AA351" s="8"/>
      <c r="AB351" s="8"/>
      <c r="AC351" s="314" t="str">
        <f t="shared" si="93"/>
        <v>yes</v>
      </c>
      <c r="AD351" s="314">
        <f>COUNTA(first:Last!R351)</f>
        <v>1</v>
      </c>
      <c r="AE351" s="157">
        <f>SUM(first:Last!Z351)</f>
        <v>0</v>
      </c>
      <c r="AF351" s="157" t="str">
        <f t="shared" si="94"/>
        <v>yes</v>
      </c>
      <c r="AG351" s="157">
        <f>COUNTA(Last:end!M351)</f>
        <v>2</v>
      </c>
      <c r="AH351" s="520">
        <f>COUNTA(Last:end!M351)/6</f>
        <v>0.33333333333333331</v>
      </c>
      <c r="AI351" s="157">
        <f>SUM(Last:end!O351)</f>
        <v>0</v>
      </c>
      <c r="AJ351" s="157">
        <f>MIN(Last:end!L351)</f>
        <v>2023</v>
      </c>
      <c r="AK351" s="157" t="e">
        <f>IF(AND(AJ351&lt;=2023,#REF!="high interest / inadequate offer "),"yes","no")</f>
        <v>#REF!</v>
      </c>
      <c r="AL351" s="157" t="str">
        <f t="shared" si="92"/>
        <v>no</v>
      </c>
      <c r="AM351" s="157"/>
      <c r="AN351" s="157"/>
      <c r="AO351" s="157"/>
      <c r="AP351" s="157">
        <v>1</v>
      </c>
    </row>
    <row r="352" spans="1:209" ht="62.25" customHeight="1">
      <c r="A352" s="8" t="s">
        <v>22</v>
      </c>
      <c r="B352" s="31" t="s">
        <v>587</v>
      </c>
      <c r="C352" s="18" t="s">
        <v>984</v>
      </c>
      <c r="D352" s="18" t="s">
        <v>997</v>
      </c>
      <c r="E352" s="69" t="s">
        <v>998</v>
      </c>
      <c r="F352" s="8"/>
      <c r="G352" s="18" t="s">
        <v>62</v>
      </c>
      <c r="H352" s="18" t="s">
        <v>591</v>
      </c>
      <c r="I352" s="23">
        <v>1</v>
      </c>
      <c r="J352" s="8"/>
      <c r="K352" s="8"/>
      <c r="L352" s="8"/>
      <c r="M352" s="8"/>
      <c r="N352" s="8"/>
      <c r="O352" s="8"/>
      <c r="P352" s="8"/>
      <c r="Q352" s="157"/>
      <c r="R352" s="8"/>
      <c r="S352" s="8"/>
      <c r="T352" s="8"/>
      <c r="U352" s="8"/>
      <c r="V352" s="8"/>
      <c r="W352" s="8"/>
      <c r="X352" s="8"/>
      <c r="Y352" s="8"/>
      <c r="Z352" s="8"/>
      <c r="AA352" s="8"/>
      <c r="AB352" s="8"/>
      <c r="AC352" s="314" t="str">
        <f t="shared" si="93"/>
        <v>yes</v>
      </c>
      <c r="AD352" s="314">
        <f>COUNTA(first:Last!R352)</f>
        <v>1</v>
      </c>
      <c r="AE352" s="157">
        <f>SUM(first:Last!Z352)</f>
        <v>0</v>
      </c>
      <c r="AF352" s="157" t="str">
        <f t="shared" si="94"/>
        <v>yes</v>
      </c>
      <c r="AG352" s="157">
        <f>COUNTA(Last:end!M352)</f>
        <v>2</v>
      </c>
      <c r="AH352" s="520">
        <f>COUNTA(Last:end!M352)/6</f>
        <v>0.33333333333333331</v>
      </c>
      <c r="AI352" s="157">
        <f>SUM(Last:end!O352)</f>
        <v>0</v>
      </c>
      <c r="AJ352" s="157">
        <f>MIN(Last:end!L352)</f>
        <v>2023</v>
      </c>
      <c r="AK352" s="157" t="e">
        <f>IF(AND(AJ352&lt;=2023,#REF!="high interest / inadequate offer "),"yes","no")</f>
        <v>#REF!</v>
      </c>
      <c r="AL352" s="157" t="str">
        <f t="shared" si="92"/>
        <v>no</v>
      </c>
      <c r="AM352" s="157"/>
      <c r="AN352" s="157"/>
      <c r="AO352" s="157"/>
      <c r="AP352" s="157">
        <v>1</v>
      </c>
    </row>
    <row r="353" spans="1:209" s="26" customFormat="1" ht="62.25" customHeight="1">
      <c r="A353" s="8" t="s">
        <v>22</v>
      </c>
      <c r="B353" s="31" t="s">
        <v>587</v>
      </c>
      <c r="C353" s="18" t="s">
        <v>984</v>
      </c>
      <c r="D353" s="18" t="s">
        <v>999</v>
      </c>
      <c r="E353" s="69" t="s">
        <v>1000</v>
      </c>
      <c r="F353" s="8"/>
      <c r="G353" s="18" t="s">
        <v>62</v>
      </c>
      <c r="H353" s="18" t="s">
        <v>591</v>
      </c>
      <c r="I353" s="23">
        <v>1</v>
      </c>
      <c r="J353" s="8"/>
      <c r="K353" s="8"/>
      <c r="L353" s="8"/>
      <c r="M353" s="8"/>
      <c r="N353" s="8"/>
      <c r="O353" s="8"/>
      <c r="P353" s="8"/>
      <c r="Q353" s="157"/>
      <c r="R353" s="8"/>
      <c r="S353" s="8"/>
      <c r="T353" s="8"/>
      <c r="U353" s="8"/>
      <c r="V353" s="8"/>
      <c r="W353" s="8"/>
      <c r="X353" s="8"/>
      <c r="Y353" s="8"/>
      <c r="Z353" s="8"/>
      <c r="AA353" s="8"/>
      <c r="AB353" s="8"/>
      <c r="AC353" s="314" t="str">
        <f t="shared" si="93"/>
        <v>yes</v>
      </c>
      <c r="AD353" s="314">
        <f>COUNTA(first:Last!R353)</f>
        <v>1</v>
      </c>
      <c r="AE353" s="157">
        <f>SUM(first:Last!Z353)</f>
        <v>0</v>
      </c>
      <c r="AF353" s="157" t="str">
        <f t="shared" si="94"/>
        <v>yes</v>
      </c>
      <c r="AG353" s="157">
        <f>COUNTA(Last:end!M353)</f>
        <v>3</v>
      </c>
      <c r="AH353" s="520">
        <f>COUNTA(Last:end!M353)/6</f>
        <v>0.5</v>
      </c>
      <c r="AI353" s="157">
        <f>SUM(Last:end!O353)</f>
        <v>0</v>
      </c>
      <c r="AJ353" s="157">
        <f>MIN(Last:end!L353)</f>
        <v>2023</v>
      </c>
      <c r="AK353" s="157" t="e">
        <f>IF(AND(AJ353&lt;=2023,#REF!="high interest / inadequate offer "),"yes","no")</f>
        <v>#REF!</v>
      </c>
      <c r="AL353" s="157" t="str">
        <f t="shared" si="92"/>
        <v>no</v>
      </c>
      <c r="AM353" s="157"/>
      <c r="AN353" s="157"/>
      <c r="AO353" s="157"/>
      <c r="AP353" s="157">
        <v>1</v>
      </c>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row>
    <row r="354" spans="1:209" s="26" customFormat="1" ht="62.25" customHeight="1">
      <c r="A354" s="8" t="s">
        <v>22</v>
      </c>
      <c r="B354" s="31" t="s">
        <v>587</v>
      </c>
      <c r="C354" s="18" t="s">
        <v>984</v>
      </c>
      <c r="D354" s="18" t="s">
        <v>1001</v>
      </c>
      <c r="E354" s="69" t="s">
        <v>1002</v>
      </c>
      <c r="F354" s="8"/>
      <c r="G354" s="18" t="s">
        <v>62</v>
      </c>
      <c r="H354" s="18" t="s">
        <v>591</v>
      </c>
      <c r="I354" s="23">
        <v>1</v>
      </c>
      <c r="J354" s="8"/>
      <c r="K354" s="8"/>
      <c r="L354" s="8"/>
      <c r="M354" s="8"/>
      <c r="N354" s="8"/>
      <c r="O354" s="8"/>
      <c r="P354" s="8"/>
      <c r="Q354" s="157"/>
      <c r="R354" s="8"/>
      <c r="S354" s="8"/>
      <c r="T354" s="8"/>
      <c r="U354" s="8"/>
      <c r="V354" s="8"/>
      <c r="W354" s="8"/>
      <c r="X354" s="8"/>
      <c r="Y354" s="8"/>
      <c r="Z354" s="8"/>
      <c r="AA354" s="8"/>
      <c r="AB354" s="8"/>
      <c r="AC354" s="314" t="str">
        <f t="shared" si="93"/>
        <v>yes</v>
      </c>
      <c r="AD354" s="314">
        <f>COUNTA(first:Last!R354)</f>
        <v>1</v>
      </c>
      <c r="AE354" s="157">
        <f>SUM(first:Last!Z354)</f>
        <v>0</v>
      </c>
      <c r="AF354" s="157" t="str">
        <f t="shared" si="94"/>
        <v>yes</v>
      </c>
      <c r="AG354" s="157">
        <f>COUNTA(Last:end!M354)</f>
        <v>2</v>
      </c>
      <c r="AH354" s="520">
        <f>COUNTA(Last:end!M354)/6</f>
        <v>0.33333333333333331</v>
      </c>
      <c r="AI354" s="157">
        <f>SUM(Last:end!O354)</f>
        <v>0</v>
      </c>
      <c r="AJ354" s="157">
        <f>MIN(Last:end!L354)</f>
        <v>2023</v>
      </c>
      <c r="AK354" s="157" t="e">
        <f>IF(AND(AJ354&lt;=2023,#REF!="high interest / inadequate offer "),"yes","no")</f>
        <v>#REF!</v>
      </c>
      <c r="AL354" s="157" t="str">
        <f t="shared" si="92"/>
        <v>no</v>
      </c>
      <c r="AM354" s="157"/>
      <c r="AN354" s="157"/>
      <c r="AO354" s="157"/>
      <c r="AP354" s="157">
        <v>1</v>
      </c>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row>
    <row r="355" spans="1:209" s="26" customFormat="1" ht="62.25" customHeight="1">
      <c r="A355" s="8" t="s">
        <v>22</v>
      </c>
      <c r="B355" s="31" t="s">
        <v>587</v>
      </c>
      <c r="C355" s="18" t="s">
        <v>984</v>
      </c>
      <c r="D355" s="18" t="s">
        <v>1003</v>
      </c>
      <c r="E355" s="69" t="s">
        <v>1004</v>
      </c>
      <c r="F355" s="8"/>
      <c r="G355" s="18" t="s">
        <v>62</v>
      </c>
      <c r="H355" s="18" t="s">
        <v>591</v>
      </c>
      <c r="I355" s="23">
        <v>1</v>
      </c>
      <c r="J355" s="8"/>
      <c r="K355" s="8"/>
      <c r="L355" s="8"/>
      <c r="M355" s="8"/>
      <c r="N355" s="8"/>
      <c r="O355" s="8"/>
      <c r="P355" s="8"/>
      <c r="Q355" s="157"/>
      <c r="R355" s="8"/>
      <c r="S355" s="8"/>
      <c r="T355" s="8"/>
      <c r="U355" s="8"/>
      <c r="V355" s="8"/>
      <c r="W355" s="8"/>
      <c r="X355" s="8"/>
      <c r="Y355" s="8"/>
      <c r="Z355" s="8"/>
      <c r="AA355" s="8"/>
      <c r="AB355" s="8"/>
      <c r="AC355" s="314" t="str">
        <f t="shared" si="93"/>
        <v>yes</v>
      </c>
      <c r="AD355" s="314">
        <f>COUNTA(first:Last!R355)</f>
        <v>1</v>
      </c>
      <c r="AE355" s="157">
        <f>SUM(first:Last!Z355)</f>
        <v>0</v>
      </c>
      <c r="AF355" s="157" t="str">
        <f t="shared" si="94"/>
        <v>yes</v>
      </c>
      <c r="AG355" s="157">
        <f>COUNTA(Last:end!M355)</f>
        <v>2</v>
      </c>
      <c r="AH355" s="520">
        <f>COUNTA(Last:end!M355)/6</f>
        <v>0.33333333333333331</v>
      </c>
      <c r="AI355" s="157">
        <f>SUM(Last:end!O355)</f>
        <v>0</v>
      </c>
      <c r="AJ355" s="157">
        <f>MIN(Last:end!L355)</f>
        <v>2023</v>
      </c>
      <c r="AK355" s="157" t="e">
        <f>IF(AND(AJ355&lt;=2023,#REF!="high interest / inadequate offer "),"yes","no")</f>
        <v>#REF!</v>
      </c>
      <c r="AL355" s="157" t="str">
        <f t="shared" si="92"/>
        <v>no</v>
      </c>
      <c r="AM355" s="157"/>
      <c r="AN355" s="157"/>
      <c r="AO355" s="157"/>
      <c r="AP355" s="157">
        <v>1</v>
      </c>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row>
    <row r="356" spans="1:209" s="26" customFormat="1" ht="62.25" customHeight="1">
      <c r="A356" s="8" t="s">
        <v>22</v>
      </c>
      <c r="B356" s="31" t="s">
        <v>587</v>
      </c>
      <c r="C356" s="18" t="s">
        <v>984</v>
      </c>
      <c r="D356" s="18" t="s">
        <v>1005</v>
      </c>
      <c r="E356" s="69" t="s">
        <v>1006</v>
      </c>
      <c r="F356" s="8"/>
      <c r="G356" s="18" t="s">
        <v>62</v>
      </c>
      <c r="H356" s="18" t="s">
        <v>591</v>
      </c>
      <c r="I356" s="23">
        <v>1</v>
      </c>
      <c r="J356" s="8"/>
      <c r="K356" s="8"/>
      <c r="L356" s="8"/>
      <c r="M356" s="8"/>
      <c r="N356" s="8"/>
      <c r="O356" s="8"/>
      <c r="P356" s="8"/>
      <c r="Q356" s="157"/>
      <c r="R356" s="8"/>
      <c r="S356" s="8"/>
      <c r="T356" s="8"/>
      <c r="U356" s="8"/>
      <c r="V356" s="8"/>
      <c r="W356" s="8"/>
      <c r="X356" s="8"/>
      <c r="Y356" s="8"/>
      <c r="Z356" s="8"/>
      <c r="AA356" s="8"/>
      <c r="AB356" s="8"/>
      <c r="AC356" s="314" t="str">
        <f t="shared" si="93"/>
        <v>yes</v>
      </c>
      <c r="AD356" s="314">
        <f>COUNTA(first:Last!R356)</f>
        <v>1</v>
      </c>
      <c r="AE356" s="157">
        <f>SUM(first:Last!Z356)</f>
        <v>0</v>
      </c>
      <c r="AF356" s="157" t="str">
        <f t="shared" si="94"/>
        <v>yes</v>
      </c>
      <c r="AG356" s="157">
        <f>COUNTA(Last:end!M356)</f>
        <v>2</v>
      </c>
      <c r="AH356" s="520">
        <f>COUNTA(Last:end!M356)/6</f>
        <v>0.33333333333333331</v>
      </c>
      <c r="AI356" s="157">
        <f>SUM(Last:end!O356)</f>
        <v>0</v>
      </c>
      <c r="AJ356" s="157">
        <f>MIN(Last:end!L356)</f>
        <v>2023</v>
      </c>
      <c r="AK356" s="157" t="e">
        <f>IF(AND(AJ356&lt;=2023,#REF!="high interest / inadequate offer "),"yes","no")</f>
        <v>#REF!</v>
      </c>
      <c r="AL356" s="157" t="str">
        <f t="shared" si="92"/>
        <v>no</v>
      </c>
      <c r="AM356" s="157"/>
      <c r="AN356" s="157"/>
      <c r="AO356" s="157"/>
      <c r="AP356" s="157">
        <v>1</v>
      </c>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row>
    <row r="357" spans="1:209" s="26" customFormat="1" ht="62.25" customHeight="1">
      <c r="A357" s="8" t="s">
        <v>22</v>
      </c>
      <c r="B357" s="31" t="s">
        <v>587</v>
      </c>
      <c r="C357" s="18" t="s">
        <v>984</v>
      </c>
      <c r="D357" s="18" t="s">
        <v>1007</v>
      </c>
      <c r="E357" s="69" t="s">
        <v>1008</v>
      </c>
      <c r="F357" s="8"/>
      <c r="G357" s="18" t="s">
        <v>62</v>
      </c>
      <c r="H357" s="18" t="s">
        <v>591</v>
      </c>
      <c r="I357" s="23">
        <v>1</v>
      </c>
      <c r="J357" s="8"/>
      <c r="K357" s="8"/>
      <c r="L357" s="8"/>
      <c r="M357" s="8"/>
      <c r="N357" s="8"/>
      <c r="O357" s="8"/>
      <c r="P357" s="8"/>
      <c r="Q357" s="157"/>
      <c r="R357" s="8"/>
      <c r="S357" s="8"/>
      <c r="T357" s="8"/>
      <c r="U357" s="8"/>
      <c r="V357" s="8"/>
      <c r="W357" s="8"/>
      <c r="X357" s="8"/>
      <c r="Y357" s="8"/>
      <c r="Z357" s="8"/>
      <c r="AA357" s="8"/>
      <c r="AB357" s="8"/>
      <c r="AC357" s="314" t="str">
        <f t="shared" si="93"/>
        <v>yes</v>
      </c>
      <c r="AD357" s="314">
        <f>COUNTA(first:Last!R357)</f>
        <v>1</v>
      </c>
      <c r="AE357" s="157">
        <f>SUM(first:Last!Z357)</f>
        <v>0</v>
      </c>
      <c r="AF357" s="157" t="str">
        <f t="shared" si="94"/>
        <v>yes</v>
      </c>
      <c r="AG357" s="157">
        <f>COUNTA(Last:end!M357)</f>
        <v>2</v>
      </c>
      <c r="AH357" s="520">
        <f>COUNTA(Last:end!M357)/6</f>
        <v>0.33333333333333331</v>
      </c>
      <c r="AI357" s="157">
        <f>SUM(Last:end!O357)</f>
        <v>0</v>
      </c>
      <c r="AJ357" s="157">
        <f>MIN(Last:end!L357)</f>
        <v>2023</v>
      </c>
      <c r="AK357" s="157" t="e">
        <f>IF(AND(AJ357&lt;=2023,#REF!="high interest / inadequate offer "),"yes","no")</f>
        <v>#REF!</v>
      </c>
      <c r="AL357" s="157" t="str">
        <f t="shared" si="92"/>
        <v>no</v>
      </c>
      <c r="AM357" s="157"/>
      <c r="AN357" s="157"/>
      <c r="AO357" s="157"/>
      <c r="AP357" s="157">
        <v>1</v>
      </c>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row>
    <row r="358" spans="1:209" s="26" customFormat="1" ht="62.25" customHeight="1">
      <c r="A358" s="8" t="s">
        <v>22</v>
      </c>
      <c r="B358" s="31" t="s">
        <v>587</v>
      </c>
      <c r="C358" s="18" t="s">
        <v>984</v>
      </c>
      <c r="D358" s="18" t="s">
        <v>1009</v>
      </c>
      <c r="E358" s="69" t="s">
        <v>1010</v>
      </c>
      <c r="F358" s="8"/>
      <c r="G358" s="18" t="s">
        <v>62</v>
      </c>
      <c r="H358" s="18" t="s">
        <v>591</v>
      </c>
      <c r="I358" s="23">
        <v>1</v>
      </c>
      <c r="J358" s="8"/>
      <c r="K358" s="8"/>
      <c r="L358" s="8"/>
      <c r="M358" s="8"/>
      <c r="N358" s="8"/>
      <c r="O358" s="8"/>
      <c r="P358" s="8"/>
      <c r="Q358" s="157"/>
      <c r="R358" s="8"/>
      <c r="S358" s="8"/>
      <c r="T358" s="8"/>
      <c r="U358" s="8"/>
      <c r="V358" s="8"/>
      <c r="W358" s="8"/>
      <c r="X358" s="8"/>
      <c r="Y358" s="8"/>
      <c r="Z358" s="8"/>
      <c r="AA358" s="8"/>
      <c r="AB358" s="8"/>
      <c r="AC358" s="314" t="str">
        <f t="shared" si="93"/>
        <v>yes</v>
      </c>
      <c r="AD358" s="314">
        <f>COUNTA(first:Last!R358)</f>
        <v>1</v>
      </c>
      <c r="AE358" s="157">
        <f>SUM(first:Last!Z358)</f>
        <v>0</v>
      </c>
      <c r="AF358" s="157" t="str">
        <f t="shared" si="94"/>
        <v>yes</v>
      </c>
      <c r="AG358" s="157">
        <f>COUNTA(Last:end!M358)</f>
        <v>2</v>
      </c>
      <c r="AH358" s="520">
        <f>COUNTA(Last:end!M358)/6</f>
        <v>0.33333333333333331</v>
      </c>
      <c r="AI358" s="157">
        <f>SUM(Last:end!O358)</f>
        <v>0</v>
      </c>
      <c r="AJ358" s="157">
        <f>MIN(Last:end!L358)</f>
        <v>2023</v>
      </c>
      <c r="AK358" s="157" t="e">
        <f>IF(AND(AJ358&lt;=2023,#REF!="high interest / inadequate offer "),"yes","no")</f>
        <v>#REF!</v>
      </c>
      <c r="AL358" s="157" t="str">
        <f t="shared" si="92"/>
        <v>no</v>
      </c>
      <c r="AM358" s="157"/>
      <c r="AN358" s="157"/>
      <c r="AO358" s="157"/>
      <c r="AP358" s="157">
        <v>1</v>
      </c>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row>
    <row r="359" spans="1:209" s="26" customFormat="1" ht="62.25" customHeight="1">
      <c r="A359" s="8" t="s">
        <v>22</v>
      </c>
      <c r="B359" s="31" t="s">
        <v>587</v>
      </c>
      <c r="C359" s="18" t="s">
        <v>984</v>
      </c>
      <c r="D359" s="18" t="s">
        <v>1011</v>
      </c>
      <c r="E359" s="69" t="s">
        <v>1012</v>
      </c>
      <c r="F359" s="8"/>
      <c r="G359" s="18" t="s">
        <v>62</v>
      </c>
      <c r="H359" s="18" t="s">
        <v>591</v>
      </c>
      <c r="I359" s="23">
        <v>1</v>
      </c>
      <c r="J359" s="8"/>
      <c r="K359" s="8"/>
      <c r="L359" s="8"/>
      <c r="M359" s="8"/>
      <c r="N359" s="8"/>
      <c r="O359" s="8"/>
      <c r="P359" s="8"/>
      <c r="Q359" s="157"/>
      <c r="R359" s="8"/>
      <c r="S359" s="8"/>
      <c r="T359" s="8"/>
      <c r="U359" s="8"/>
      <c r="V359" s="8"/>
      <c r="W359" s="8"/>
      <c r="X359" s="8"/>
      <c r="Y359" s="8"/>
      <c r="Z359" s="8"/>
      <c r="AA359" s="8"/>
      <c r="AB359" s="8"/>
      <c r="AC359" s="314" t="str">
        <f t="shared" si="93"/>
        <v>yes</v>
      </c>
      <c r="AD359" s="314">
        <f>COUNTA(first:Last!R359)</f>
        <v>1</v>
      </c>
      <c r="AE359" s="157">
        <f>SUM(first:Last!Z359)</f>
        <v>0</v>
      </c>
      <c r="AF359" s="157" t="str">
        <f t="shared" si="94"/>
        <v>yes</v>
      </c>
      <c r="AG359" s="157">
        <f>COUNTA(Last:end!M359)</f>
        <v>2</v>
      </c>
      <c r="AH359" s="520">
        <f>COUNTA(Last:end!M359)/6</f>
        <v>0.33333333333333331</v>
      </c>
      <c r="AI359" s="157">
        <f>SUM(Last:end!O359)</f>
        <v>0</v>
      </c>
      <c r="AJ359" s="157">
        <f>MIN(Last:end!L359)</f>
        <v>2023</v>
      </c>
      <c r="AK359" s="157" t="e">
        <f>IF(AND(AJ359&lt;=2023,#REF!="high interest / inadequate offer "),"yes","no")</f>
        <v>#REF!</v>
      </c>
      <c r="AL359" s="157" t="str">
        <f t="shared" si="92"/>
        <v>no</v>
      </c>
      <c r="AM359" s="157"/>
      <c r="AN359" s="157"/>
      <c r="AO359" s="157"/>
      <c r="AP359" s="157">
        <v>1</v>
      </c>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row>
    <row r="360" spans="1:209" s="26" customFormat="1" ht="62.25" customHeight="1">
      <c r="A360" s="8" t="s">
        <v>22</v>
      </c>
      <c r="B360" s="31" t="s">
        <v>587</v>
      </c>
      <c r="C360" s="18" t="s">
        <v>984</v>
      </c>
      <c r="D360" s="18" t="s">
        <v>1013</v>
      </c>
      <c r="E360" s="69" t="s">
        <v>1014</v>
      </c>
      <c r="F360" s="8"/>
      <c r="G360" s="18" t="s">
        <v>62</v>
      </c>
      <c r="H360" s="18" t="s">
        <v>591</v>
      </c>
      <c r="I360" s="23">
        <v>1</v>
      </c>
      <c r="J360" s="8"/>
      <c r="K360" s="8"/>
      <c r="L360" s="8"/>
      <c r="M360" s="8"/>
      <c r="N360" s="8"/>
      <c r="O360" s="8"/>
      <c r="P360" s="8"/>
      <c r="Q360" s="157"/>
      <c r="R360" s="8"/>
      <c r="S360" s="8"/>
      <c r="T360" s="8"/>
      <c r="U360" s="8"/>
      <c r="V360" s="8"/>
      <c r="W360" s="8"/>
      <c r="X360" s="8"/>
      <c r="Y360" s="8"/>
      <c r="Z360" s="8"/>
      <c r="AA360" s="8"/>
      <c r="AB360" s="8"/>
      <c r="AC360" s="314" t="str">
        <f t="shared" si="93"/>
        <v>yes</v>
      </c>
      <c r="AD360" s="314">
        <f>COUNTA(first:Last!R360)</f>
        <v>1</v>
      </c>
      <c r="AE360" s="157">
        <f>SUM(first:Last!Z360)</f>
        <v>0</v>
      </c>
      <c r="AF360" s="157" t="str">
        <f t="shared" si="94"/>
        <v>yes</v>
      </c>
      <c r="AG360" s="157">
        <f>COUNTA(Last:end!M360)</f>
        <v>2</v>
      </c>
      <c r="AH360" s="520">
        <f>COUNTA(Last:end!M360)/6</f>
        <v>0.33333333333333331</v>
      </c>
      <c r="AI360" s="157">
        <f>SUM(Last:end!O360)</f>
        <v>0</v>
      </c>
      <c r="AJ360" s="157">
        <f>MIN(Last:end!L360)</f>
        <v>2023</v>
      </c>
      <c r="AK360" s="157" t="e">
        <f>IF(AND(AJ360&lt;=2023,#REF!="high interest / inadequate offer "),"yes","no")</f>
        <v>#REF!</v>
      </c>
      <c r="AL360" s="157" t="str">
        <f t="shared" si="92"/>
        <v>no</v>
      </c>
      <c r="AM360" s="157"/>
      <c r="AN360" s="157"/>
      <c r="AO360" s="157"/>
      <c r="AP360" s="157">
        <v>1</v>
      </c>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row>
    <row r="361" spans="1:209" s="26" customFormat="1" ht="62.25" customHeight="1">
      <c r="A361" s="8" t="s">
        <v>22</v>
      </c>
      <c r="B361" s="31" t="s">
        <v>587</v>
      </c>
      <c r="C361" s="18" t="s">
        <v>984</v>
      </c>
      <c r="D361" s="18" t="s">
        <v>1015</v>
      </c>
      <c r="E361" s="69" t="s">
        <v>1016</v>
      </c>
      <c r="F361" s="8"/>
      <c r="G361" s="18" t="s">
        <v>62</v>
      </c>
      <c r="H361" s="18" t="s">
        <v>591</v>
      </c>
      <c r="I361" s="23">
        <v>1</v>
      </c>
      <c r="J361" s="8"/>
      <c r="K361" s="8"/>
      <c r="L361" s="8"/>
      <c r="M361" s="8"/>
      <c r="N361" s="8"/>
      <c r="O361" s="8"/>
      <c r="P361" s="8"/>
      <c r="Q361" s="157"/>
      <c r="R361" s="8"/>
      <c r="S361" s="8"/>
      <c r="T361" s="8"/>
      <c r="U361" s="8"/>
      <c r="V361" s="8"/>
      <c r="W361" s="8"/>
      <c r="X361" s="8"/>
      <c r="Y361" s="8"/>
      <c r="Z361" s="8"/>
      <c r="AA361" s="8"/>
      <c r="AB361" s="8"/>
      <c r="AC361" s="314" t="str">
        <f t="shared" si="93"/>
        <v>yes</v>
      </c>
      <c r="AD361" s="314">
        <f>COUNTA(first:Last!R361)</f>
        <v>1</v>
      </c>
      <c r="AE361" s="157">
        <f>SUM(first:Last!Z361)</f>
        <v>0</v>
      </c>
      <c r="AF361" s="157" t="str">
        <f t="shared" si="94"/>
        <v>yes</v>
      </c>
      <c r="AG361" s="157">
        <f>COUNTA(Last:end!M361)</f>
        <v>2</v>
      </c>
      <c r="AH361" s="520">
        <f>COUNTA(Last:end!M361)/6</f>
        <v>0.33333333333333331</v>
      </c>
      <c r="AI361" s="157">
        <f>SUM(Last:end!O361)</f>
        <v>0</v>
      </c>
      <c r="AJ361" s="157">
        <f>MIN(Last:end!L361)</f>
        <v>2023</v>
      </c>
      <c r="AK361" s="157" t="e">
        <f>IF(AND(AJ361&lt;=2023,#REF!="high interest / inadequate offer "),"yes","no")</f>
        <v>#REF!</v>
      </c>
      <c r="AL361" s="157" t="str">
        <f t="shared" si="92"/>
        <v>no</v>
      </c>
      <c r="AM361" s="157"/>
      <c r="AN361" s="157"/>
      <c r="AO361" s="157"/>
      <c r="AP361" s="157">
        <v>1</v>
      </c>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row>
    <row r="362" spans="1:209" s="26" customFormat="1" ht="62.25" customHeight="1">
      <c r="A362" s="8" t="s">
        <v>22</v>
      </c>
      <c r="B362" s="31" t="s">
        <v>587</v>
      </c>
      <c r="C362" s="18" t="s">
        <v>984</v>
      </c>
      <c r="D362" s="18" t="s">
        <v>1017</v>
      </c>
      <c r="E362" s="69" t="s">
        <v>1018</v>
      </c>
      <c r="F362" s="8"/>
      <c r="G362" s="18" t="s">
        <v>62</v>
      </c>
      <c r="H362" s="18" t="s">
        <v>591</v>
      </c>
      <c r="I362" s="23">
        <v>1</v>
      </c>
      <c r="J362" s="8"/>
      <c r="K362" s="8"/>
      <c r="L362" s="8"/>
      <c r="M362" s="8"/>
      <c r="N362" s="8"/>
      <c r="O362" s="8"/>
      <c r="P362" s="8"/>
      <c r="Q362" s="157"/>
      <c r="R362" s="8"/>
      <c r="S362" s="8"/>
      <c r="T362" s="8"/>
      <c r="U362" s="8"/>
      <c r="V362" s="8"/>
      <c r="W362" s="8"/>
      <c r="X362" s="8"/>
      <c r="Y362" s="8"/>
      <c r="Z362" s="8"/>
      <c r="AA362" s="8"/>
      <c r="AB362" s="8"/>
      <c r="AC362" s="314" t="str">
        <f t="shared" si="93"/>
        <v>yes</v>
      </c>
      <c r="AD362" s="314">
        <f>COUNTA(first:Last!R362)</f>
        <v>1</v>
      </c>
      <c r="AE362" s="157">
        <f>SUM(first:Last!Z362)</f>
        <v>0</v>
      </c>
      <c r="AF362" s="157" t="str">
        <f t="shared" si="94"/>
        <v>yes</v>
      </c>
      <c r="AG362" s="157">
        <f>COUNTA(Last:end!M362)</f>
        <v>2</v>
      </c>
      <c r="AH362" s="520">
        <f>COUNTA(Last:end!M362)/6</f>
        <v>0.33333333333333331</v>
      </c>
      <c r="AI362" s="157">
        <f>SUM(Last:end!O362)</f>
        <v>0</v>
      </c>
      <c r="AJ362" s="157">
        <f>MIN(Last:end!L362)</f>
        <v>2023</v>
      </c>
      <c r="AK362" s="157" t="e">
        <f>IF(AND(AJ362&lt;=2023,#REF!="high interest / inadequate offer "),"yes","no")</f>
        <v>#REF!</v>
      </c>
      <c r="AL362" s="157" t="str">
        <f t="shared" si="92"/>
        <v>no</v>
      </c>
      <c r="AM362" s="157"/>
      <c r="AN362" s="157"/>
      <c r="AO362" s="157"/>
      <c r="AP362" s="157">
        <v>1</v>
      </c>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row>
    <row r="363" spans="1:209" s="26" customFormat="1" ht="62.25" customHeight="1">
      <c r="A363" s="8" t="s">
        <v>22</v>
      </c>
      <c r="B363" s="31" t="s">
        <v>587</v>
      </c>
      <c r="C363" s="18" t="s">
        <v>984</v>
      </c>
      <c r="D363" s="18" t="s">
        <v>1019</v>
      </c>
      <c r="E363" s="69" t="s">
        <v>1020</v>
      </c>
      <c r="F363" s="8"/>
      <c r="G363" s="18" t="s">
        <v>62</v>
      </c>
      <c r="H363" s="18" t="s">
        <v>591</v>
      </c>
      <c r="I363" s="23">
        <v>1</v>
      </c>
      <c r="J363" s="8"/>
      <c r="K363" s="8"/>
      <c r="L363" s="8"/>
      <c r="M363" s="8"/>
      <c r="N363" s="8"/>
      <c r="O363" s="8"/>
      <c r="P363" s="8"/>
      <c r="Q363" s="157"/>
      <c r="R363" s="8"/>
      <c r="S363" s="8"/>
      <c r="T363" s="8"/>
      <c r="U363" s="8"/>
      <c r="V363" s="8"/>
      <c r="W363" s="8"/>
      <c r="X363" s="8"/>
      <c r="Y363" s="8"/>
      <c r="Z363" s="8"/>
      <c r="AA363" s="8"/>
      <c r="AB363" s="8"/>
      <c r="AC363" s="314" t="str">
        <f t="shared" si="93"/>
        <v>yes</v>
      </c>
      <c r="AD363" s="314">
        <f>COUNTA(first:Last!R363)</f>
        <v>1</v>
      </c>
      <c r="AE363" s="157">
        <f>SUM(first:Last!Z363)</f>
        <v>0</v>
      </c>
      <c r="AF363" s="157" t="str">
        <f t="shared" si="94"/>
        <v>yes</v>
      </c>
      <c r="AG363" s="157">
        <f>COUNTA(Last:end!M363)</f>
        <v>2</v>
      </c>
      <c r="AH363" s="520">
        <f>COUNTA(Last:end!M363)/6</f>
        <v>0.33333333333333331</v>
      </c>
      <c r="AI363" s="157">
        <f>SUM(Last:end!O363)</f>
        <v>0</v>
      </c>
      <c r="AJ363" s="157">
        <f>MIN(Last:end!L363)</f>
        <v>2023</v>
      </c>
      <c r="AK363" s="157" t="e">
        <f>IF(AND(AJ363&lt;=2023,#REF!="high interest / inadequate offer "),"yes","no")</f>
        <v>#REF!</v>
      </c>
      <c r="AL363" s="157" t="str">
        <f t="shared" si="92"/>
        <v>no</v>
      </c>
      <c r="AM363" s="157"/>
      <c r="AN363" s="157"/>
      <c r="AO363" s="157"/>
      <c r="AP363" s="157">
        <v>1</v>
      </c>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row>
    <row r="364" spans="1:209" s="26" customFormat="1" ht="62.25" customHeight="1">
      <c r="A364" s="8" t="s">
        <v>22</v>
      </c>
      <c r="B364" s="31" t="s">
        <v>587</v>
      </c>
      <c r="C364" s="18" t="s">
        <v>984</v>
      </c>
      <c r="D364" s="18" t="s">
        <v>1021</v>
      </c>
      <c r="E364" s="69" t="s">
        <v>1022</v>
      </c>
      <c r="F364" s="8"/>
      <c r="G364" s="18" t="s">
        <v>62</v>
      </c>
      <c r="H364" s="18" t="s">
        <v>591</v>
      </c>
      <c r="I364" s="23">
        <v>1</v>
      </c>
      <c r="J364" s="8"/>
      <c r="K364" s="8"/>
      <c r="L364" s="8"/>
      <c r="M364" s="8"/>
      <c r="N364" s="8"/>
      <c r="O364" s="8"/>
      <c r="P364" s="8"/>
      <c r="Q364" s="157"/>
      <c r="R364" s="8"/>
      <c r="S364" s="8"/>
      <c r="T364" s="8"/>
      <c r="U364" s="8"/>
      <c r="V364" s="8"/>
      <c r="W364" s="8"/>
      <c r="X364" s="8"/>
      <c r="Y364" s="8"/>
      <c r="Z364" s="8"/>
      <c r="AA364" s="8"/>
      <c r="AB364" s="8"/>
      <c r="AC364" s="314" t="str">
        <f t="shared" si="93"/>
        <v>yes</v>
      </c>
      <c r="AD364" s="314">
        <f>COUNTA(first:Last!R364)</f>
        <v>1</v>
      </c>
      <c r="AE364" s="157">
        <f>SUM(first:Last!Z364)</f>
        <v>0</v>
      </c>
      <c r="AF364" s="157" t="str">
        <f t="shared" si="94"/>
        <v>yes</v>
      </c>
      <c r="AG364" s="157">
        <f>COUNTA(Last:end!M364)</f>
        <v>2</v>
      </c>
      <c r="AH364" s="520">
        <f>COUNTA(Last:end!M364)/6</f>
        <v>0.33333333333333331</v>
      </c>
      <c r="AI364" s="157">
        <f>SUM(Last:end!O364)</f>
        <v>0</v>
      </c>
      <c r="AJ364" s="157">
        <f>MIN(Last:end!L364)</f>
        <v>2023</v>
      </c>
      <c r="AK364" s="157" t="e">
        <f>IF(AND(AJ364&lt;=2023,#REF!="high interest / inadequate offer "),"yes","no")</f>
        <v>#REF!</v>
      </c>
      <c r="AL364" s="157" t="str">
        <f t="shared" si="92"/>
        <v>no</v>
      </c>
      <c r="AM364" s="157"/>
      <c r="AN364" s="157"/>
      <c r="AO364" s="157"/>
      <c r="AP364" s="157">
        <v>1</v>
      </c>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row>
    <row r="365" spans="1:209" s="26" customFormat="1" ht="62.25" customHeight="1">
      <c r="A365" s="8" t="s">
        <v>22</v>
      </c>
      <c r="B365" s="31" t="s">
        <v>587</v>
      </c>
      <c r="C365" s="18" t="s">
        <v>984</v>
      </c>
      <c r="D365" s="18" t="s">
        <v>1023</v>
      </c>
      <c r="E365" s="69" t="s">
        <v>1024</v>
      </c>
      <c r="F365" s="8"/>
      <c r="G365" s="18" t="s">
        <v>62</v>
      </c>
      <c r="H365" s="18" t="s">
        <v>591</v>
      </c>
      <c r="I365" s="23">
        <v>1</v>
      </c>
      <c r="J365" s="8"/>
      <c r="K365" s="8"/>
      <c r="L365" s="8"/>
      <c r="M365" s="8"/>
      <c r="N365" s="8"/>
      <c r="O365" s="8"/>
      <c r="P365" s="8"/>
      <c r="Q365" s="157"/>
      <c r="R365" s="8"/>
      <c r="S365" s="8"/>
      <c r="T365" s="8"/>
      <c r="U365" s="8"/>
      <c r="V365" s="8"/>
      <c r="W365" s="8"/>
      <c r="X365" s="8"/>
      <c r="Y365" s="8"/>
      <c r="Z365" s="8"/>
      <c r="AA365" s="8"/>
      <c r="AB365" s="8"/>
      <c r="AC365" s="314" t="str">
        <f t="shared" si="93"/>
        <v>yes</v>
      </c>
      <c r="AD365" s="314">
        <f>COUNTA(first:Last!R365)</f>
        <v>1</v>
      </c>
      <c r="AE365" s="157">
        <f>SUM(first:Last!Z365)</f>
        <v>0</v>
      </c>
      <c r="AF365" s="157" t="str">
        <f t="shared" si="94"/>
        <v>yes</v>
      </c>
      <c r="AG365" s="157">
        <f>COUNTA(Last:end!M365)</f>
        <v>3</v>
      </c>
      <c r="AH365" s="520">
        <f>COUNTA(Last:end!M365)/6</f>
        <v>0.5</v>
      </c>
      <c r="AI365" s="157">
        <f>SUM(Last:end!O365)</f>
        <v>0</v>
      </c>
      <c r="AJ365" s="157">
        <f>MIN(Last:end!L365)</f>
        <v>2023</v>
      </c>
      <c r="AK365" s="157" t="e">
        <f>IF(AND(AJ365&lt;=2023,#REF!="high interest / inadequate offer "),"yes","no")</f>
        <v>#REF!</v>
      </c>
      <c r="AL365" s="157" t="str">
        <f t="shared" si="92"/>
        <v>no</v>
      </c>
      <c r="AM365" s="157"/>
      <c r="AN365" s="157"/>
      <c r="AO365" s="157"/>
      <c r="AP365" s="157">
        <v>1</v>
      </c>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row>
    <row r="366" spans="1:209" s="26" customFormat="1" ht="62.25" customHeight="1">
      <c r="A366" s="8" t="s">
        <v>22</v>
      </c>
      <c r="B366" s="31" t="s">
        <v>587</v>
      </c>
      <c r="C366" s="18" t="s">
        <v>984</v>
      </c>
      <c r="D366" s="18" t="s">
        <v>1025</v>
      </c>
      <c r="E366" s="69" t="s">
        <v>1026</v>
      </c>
      <c r="F366" s="8"/>
      <c r="G366" s="18" t="s">
        <v>62</v>
      </c>
      <c r="H366" s="18" t="s">
        <v>591</v>
      </c>
      <c r="I366" s="23">
        <v>1</v>
      </c>
      <c r="J366" s="8"/>
      <c r="K366" s="8"/>
      <c r="L366" s="8"/>
      <c r="M366" s="8"/>
      <c r="N366" s="8"/>
      <c r="O366" s="8"/>
      <c r="P366" s="8"/>
      <c r="Q366" s="157"/>
      <c r="R366" s="8"/>
      <c r="S366" s="8"/>
      <c r="T366" s="8"/>
      <c r="U366" s="8"/>
      <c r="V366" s="8"/>
      <c r="W366" s="8"/>
      <c r="X366" s="8"/>
      <c r="Y366" s="8"/>
      <c r="Z366" s="8"/>
      <c r="AA366" s="8"/>
      <c r="AB366" s="8"/>
      <c r="AC366" s="314" t="str">
        <f t="shared" si="93"/>
        <v>yes</v>
      </c>
      <c r="AD366" s="314">
        <f>COUNTA(first:Last!R366)</f>
        <v>1</v>
      </c>
      <c r="AE366" s="157">
        <f>SUM(first:Last!Z366)</f>
        <v>0</v>
      </c>
      <c r="AF366" s="157" t="str">
        <f t="shared" si="94"/>
        <v>yes</v>
      </c>
      <c r="AG366" s="157">
        <f>COUNTA(Last:end!M366)</f>
        <v>2</v>
      </c>
      <c r="AH366" s="520">
        <f>COUNTA(Last:end!M366)/6</f>
        <v>0.33333333333333331</v>
      </c>
      <c r="AI366" s="157">
        <f>SUM(Last:end!O366)</f>
        <v>0</v>
      </c>
      <c r="AJ366" s="157">
        <f>MIN(Last:end!L366)</f>
        <v>2023</v>
      </c>
      <c r="AK366" s="157" t="e">
        <f>IF(AND(AJ366&lt;=2023,#REF!="high interest / inadequate offer "),"yes","no")</f>
        <v>#REF!</v>
      </c>
      <c r="AL366" s="157" t="str">
        <f t="shared" si="92"/>
        <v>no</v>
      </c>
      <c r="AM366" s="157"/>
      <c r="AN366" s="157"/>
      <c r="AO366" s="157"/>
      <c r="AP366" s="157">
        <v>1</v>
      </c>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row>
    <row r="367" spans="1:209" s="26" customFormat="1" ht="62.25" customHeight="1">
      <c r="A367" s="8" t="s">
        <v>22</v>
      </c>
      <c r="B367" s="31" t="s">
        <v>587</v>
      </c>
      <c r="C367" s="18" t="s">
        <v>984</v>
      </c>
      <c r="D367" s="18" t="s">
        <v>1027</v>
      </c>
      <c r="E367" s="69" t="s">
        <v>1028</v>
      </c>
      <c r="F367" s="8"/>
      <c r="G367" s="18" t="s">
        <v>62</v>
      </c>
      <c r="H367" s="18" t="s">
        <v>591</v>
      </c>
      <c r="I367" s="23">
        <v>1</v>
      </c>
      <c r="J367" s="8"/>
      <c r="K367" s="8"/>
      <c r="L367" s="8"/>
      <c r="M367" s="8"/>
      <c r="N367" s="8"/>
      <c r="O367" s="8"/>
      <c r="P367" s="8"/>
      <c r="Q367" s="157"/>
      <c r="R367" s="8"/>
      <c r="S367" s="8"/>
      <c r="T367" s="8"/>
      <c r="U367" s="8"/>
      <c r="V367" s="8"/>
      <c r="W367" s="8"/>
      <c r="X367" s="8"/>
      <c r="Y367" s="8"/>
      <c r="Z367" s="8"/>
      <c r="AA367" s="8"/>
      <c r="AB367" s="8"/>
      <c r="AC367" s="314" t="str">
        <f t="shared" si="93"/>
        <v>yes</v>
      </c>
      <c r="AD367" s="314">
        <f>COUNTA(first:Last!R367)</f>
        <v>1</v>
      </c>
      <c r="AE367" s="157">
        <f>SUM(first:Last!Z367)</f>
        <v>0</v>
      </c>
      <c r="AF367" s="157" t="str">
        <f t="shared" si="94"/>
        <v>yes</v>
      </c>
      <c r="AG367" s="157">
        <f>COUNTA(Last:end!M367)</f>
        <v>2</v>
      </c>
      <c r="AH367" s="520">
        <f>COUNTA(Last:end!M367)/6</f>
        <v>0.33333333333333331</v>
      </c>
      <c r="AI367" s="157">
        <f>SUM(Last:end!O367)</f>
        <v>0</v>
      </c>
      <c r="AJ367" s="157">
        <f>MIN(Last:end!L367)</f>
        <v>2023</v>
      </c>
      <c r="AK367" s="157" t="e">
        <f>IF(AND(AJ367&lt;=2023,#REF!="high interest / inadequate offer "),"yes","no")</f>
        <v>#REF!</v>
      </c>
      <c r="AL367" s="157" t="str">
        <f t="shared" si="92"/>
        <v>no</v>
      </c>
      <c r="AM367" s="157"/>
      <c r="AN367" s="157"/>
      <c r="AO367" s="157"/>
      <c r="AP367" s="157">
        <v>1</v>
      </c>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row>
    <row r="368" spans="1:209" s="26" customFormat="1" ht="62.25" customHeight="1">
      <c r="A368" s="8" t="s">
        <v>22</v>
      </c>
      <c r="B368" s="31" t="s">
        <v>587</v>
      </c>
      <c r="C368" s="18" t="s">
        <v>984</v>
      </c>
      <c r="D368" s="18" t="s">
        <v>1029</v>
      </c>
      <c r="E368" s="69" t="s">
        <v>1030</v>
      </c>
      <c r="F368" s="8"/>
      <c r="G368" s="18" t="s">
        <v>62</v>
      </c>
      <c r="H368" s="18" t="s">
        <v>591</v>
      </c>
      <c r="I368" s="23">
        <v>1</v>
      </c>
      <c r="J368" s="8"/>
      <c r="K368" s="8"/>
      <c r="L368" s="8"/>
      <c r="M368" s="8"/>
      <c r="N368" s="8"/>
      <c r="O368" s="8"/>
      <c r="P368" s="8"/>
      <c r="Q368" s="157"/>
      <c r="R368" s="8"/>
      <c r="S368" s="8"/>
      <c r="T368" s="8"/>
      <c r="U368" s="8"/>
      <c r="V368" s="8"/>
      <c r="W368" s="8"/>
      <c r="X368" s="8"/>
      <c r="Y368" s="8"/>
      <c r="Z368" s="8"/>
      <c r="AA368" s="8"/>
      <c r="AB368" s="8"/>
      <c r="AC368" s="314" t="str">
        <f t="shared" si="93"/>
        <v>yes</v>
      </c>
      <c r="AD368" s="314">
        <f>COUNTA(first:Last!R368)</f>
        <v>1</v>
      </c>
      <c r="AE368" s="157">
        <f>SUM(first:Last!Z368)</f>
        <v>0</v>
      </c>
      <c r="AF368" s="157" t="str">
        <f t="shared" si="94"/>
        <v>yes</v>
      </c>
      <c r="AG368" s="157">
        <f>COUNTA(Last:end!M368)</f>
        <v>2</v>
      </c>
      <c r="AH368" s="520">
        <f>COUNTA(Last:end!M368)/6</f>
        <v>0.33333333333333331</v>
      </c>
      <c r="AI368" s="157">
        <f>SUM(Last:end!O368)</f>
        <v>0</v>
      </c>
      <c r="AJ368" s="157">
        <f>MIN(Last:end!L368)</f>
        <v>2023</v>
      </c>
      <c r="AK368" s="157" t="e">
        <f>IF(AND(AJ368&lt;=2023,#REF!="high interest / inadequate offer "),"yes","no")</f>
        <v>#REF!</v>
      </c>
      <c r="AL368" s="157" t="str">
        <f t="shared" si="92"/>
        <v>no</v>
      </c>
      <c r="AM368" s="157"/>
      <c r="AN368" s="157"/>
      <c r="AO368" s="157"/>
      <c r="AP368" s="157">
        <v>1</v>
      </c>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row>
    <row r="369" spans="1:209" s="26" customFormat="1" ht="62.25" customHeight="1">
      <c r="A369" s="8" t="s">
        <v>22</v>
      </c>
      <c r="B369" s="31" t="s">
        <v>587</v>
      </c>
      <c r="C369" s="18" t="s">
        <v>984</v>
      </c>
      <c r="D369" s="18" t="s">
        <v>1031</v>
      </c>
      <c r="E369" s="69" t="s">
        <v>1032</v>
      </c>
      <c r="F369" s="8"/>
      <c r="G369" s="18" t="s">
        <v>62</v>
      </c>
      <c r="H369" s="18" t="s">
        <v>591</v>
      </c>
      <c r="I369" s="23">
        <v>1</v>
      </c>
      <c r="J369" s="8"/>
      <c r="K369" s="8"/>
      <c r="L369" s="8"/>
      <c r="M369" s="8"/>
      <c r="N369" s="8"/>
      <c r="O369" s="8"/>
      <c r="P369" s="8"/>
      <c r="Q369" s="157"/>
      <c r="R369" s="8"/>
      <c r="S369" s="8"/>
      <c r="T369" s="8"/>
      <c r="U369" s="8"/>
      <c r="V369" s="8"/>
      <c r="W369" s="8"/>
      <c r="X369" s="8"/>
      <c r="Y369" s="8"/>
      <c r="Z369" s="8"/>
      <c r="AA369" s="8"/>
      <c r="AB369" s="8"/>
      <c r="AC369" s="314" t="str">
        <f t="shared" si="93"/>
        <v>yes</v>
      </c>
      <c r="AD369" s="314">
        <f>COUNTA(first:Last!R369)</f>
        <v>1</v>
      </c>
      <c r="AE369" s="157">
        <f>SUM(first:Last!Z369)</f>
        <v>0</v>
      </c>
      <c r="AF369" s="157" t="str">
        <f t="shared" si="94"/>
        <v>yes</v>
      </c>
      <c r="AG369" s="157">
        <f>COUNTA(Last:end!M369)</f>
        <v>2</v>
      </c>
      <c r="AH369" s="520">
        <f>COUNTA(Last:end!M369)/6</f>
        <v>0.33333333333333331</v>
      </c>
      <c r="AI369" s="157">
        <f>SUM(Last:end!O369)</f>
        <v>0</v>
      </c>
      <c r="AJ369" s="157">
        <f>MIN(Last:end!L369)</f>
        <v>2023</v>
      </c>
      <c r="AK369" s="157" t="e">
        <f>IF(AND(AJ369&lt;=2023,#REF!="high interest / inadequate offer "),"yes","no")</f>
        <v>#REF!</v>
      </c>
      <c r="AL369" s="157" t="str">
        <f t="shared" si="92"/>
        <v>no</v>
      </c>
      <c r="AM369" s="157"/>
      <c r="AN369" s="157"/>
      <c r="AO369" s="157"/>
      <c r="AP369" s="157">
        <v>1</v>
      </c>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row>
    <row r="370" spans="1:209" s="26" customFormat="1" ht="62.25" customHeight="1">
      <c r="A370" s="8" t="s">
        <v>22</v>
      </c>
      <c r="B370" s="31" t="s">
        <v>587</v>
      </c>
      <c r="C370" s="18" t="s">
        <v>984</v>
      </c>
      <c r="D370" s="18" t="s">
        <v>1033</v>
      </c>
      <c r="E370" s="69" t="s">
        <v>1034</v>
      </c>
      <c r="F370" s="8"/>
      <c r="G370" s="18" t="s">
        <v>62</v>
      </c>
      <c r="H370" s="18" t="s">
        <v>591</v>
      </c>
      <c r="I370" s="23">
        <v>1</v>
      </c>
      <c r="J370" s="8"/>
      <c r="K370" s="8"/>
      <c r="L370" s="8"/>
      <c r="M370" s="8"/>
      <c r="N370" s="8"/>
      <c r="O370" s="8"/>
      <c r="P370" s="8"/>
      <c r="Q370" s="157"/>
      <c r="R370" s="8"/>
      <c r="S370" s="8"/>
      <c r="T370" s="8"/>
      <c r="U370" s="8"/>
      <c r="V370" s="8"/>
      <c r="W370" s="8"/>
      <c r="X370" s="8"/>
      <c r="Y370" s="8"/>
      <c r="Z370" s="8"/>
      <c r="AA370" s="8"/>
      <c r="AB370" s="8"/>
      <c r="AC370" s="314" t="str">
        <f t="shared" si="93"/>
        <v>yes</v>
      </c>
      <c r="AD370" s="314">
        <f>COUNTA(first:Last!R370)</f>
        <v>1</v>
      </c>
      <c r="AE370" s="157">
        <f>SUM(first:Last!Z370)</f>
        <v>0</v>
      </c>
      <c r="AF370" s="157" t="str">
        <f t="shared" si="94"/>
        <v>yes</v>
      </c>
      <c r="AG370" s="157">
        <f>COUNTA(Last:end!M370)</f>
        <v>2</v>
      </c>
      <c r="AH370" s="520">
        <f>COUNTA(Last:end!M370)/6</f>
        <v>0.33333333333333331</v>
      </c>
      <c r="AI370" s="157">
        <f>SUM(Last:end!O370)</f>
        <v>0</v>
      </c>
      <c r="AJ370" s="157">
        <f>MIN(Last:end!L370)</f>
        <v>2023</v>
      </c>
      <c r="AK370" s="157" t="e">
        <f>IF(AND(AJ370&lt;=2023,#REF!="high interest / inadequate offer "),"yes","no")</f>
        <v>#REF!</v>
      </c>
      <c r="AL370" s="157" t="str">
        <f t="shared" si="92"/>
        <v>no</v>
      </c>
      <c r="AM370" s="157"/>
      <c r="AN370" s="157"/>
      <c r="AO370" s="157"/>
      <c r="AP370" s="157">
        <v>1</v>
      </c>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row>
    <row r="371" spans="1:209" s="26" customFormat="1" ht="62.25" customHeight="1">
      <c r="A371" s="8" t="s">
        <v>22</v>
      </c>
      <c r="B371" s="31" t="s">
        <v>587</v>
      </c>
      <c r="C371" s="18" t="s">
        <v>984</v>
      </c>
      <c r="D371" s="18" t="s">
        <v>1035</v>
      </c>
      <c r="E371" s="69" t="s">
        <v>1036</v>
      </c>
      <c r="F371" s="8"/>
      <c r="G371" s="18" t="s">
        <v>62</v>
      </c>
      <c r="H371" s="18" t="s">
        <v>591</v>
      </c>
      <c r="I371" s="23">
        <v>1</v>
      </c>
      <c r="J371" s="8"/>
      <c r="K371" s="8"/>
      <c r="L371" s="8"/>
      <c r="M371" s="8"/>
      <c r="N371" s="8"/>
      <c r="O371" s="8"/>
      <c r="P371" s="8"/>
      <c r="Q371" s="157"/>
      <c r="R371" s="8"/>
      <c r="S371" s="8"/>
      <c r="T371" s="8"/>
      <c r="U371" s="8"/>
      <c r="V371" s="8"/>
      <c r="W371" s="8"/>
      <c r="X371" s="8"/>
      <c r="Y371" s="8"/>
      <c r="Z371" s="8"/>
      <c r="AA371" s="8"/>
      <c r="AB371" s="8"/>
      <c r="AC371" s="314" t="str">
        <f t="shared" si="93"/>
        <v>yes</v>
      </c>
      <c r="AD371" s="314">
        <f>COUNTA(first:Last!R371)</f>
        <v>1</v>
      </c>
      <c r="AE371" s="157">
        <f>SUM(first:Last!Z371)</f>
        <v>0</v>
      </c>
      <c r="AF371" s="157" t="str">
        <f t="shared" si="94"/>
        <v>yes</v>
      </c>
      <c r="AG371" s="157">
        <f>COUNTA(Last:end!M371)</f>
        <v>2</v>
      </c>
      <c r="AH371" s="520">
        <f>COUNTA(Last:end!M371)/6</f>
        <v>0.33333333333333331</v>
      </c>
      <c r="AI371" s="157">
        <f>SUM(Last:end!O371)</f>
        <v>0</v>
      </c>
      <c r="AJ371" s="157">
        <f>MIN(Last:end!L371)</f>
        <v>2023</v>
      </c>
      <c r="AK371" s="157" t="e">
        <f>IF(AND(AJ371&lt;=2023,#REF!="high interest / inadequate offer "),"yes","no")</f>
        <v>#REF!</v>
      </c>
      <c r="AL371" s="157" t="str">
        <f t="shared" si="92"/>
        <v>no</v>
      </c>
      <c r="AM371" s="157"/>
      <c r="AN371" s="157"/>
      <c r="AO371" s="157"/>
      <c r="AP371" s="157">
        <v>1</v>
      </c>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row>
    <row r="372" spans="1:209" s="26" customFormat="1" ht="62.25" customHeight="1">
      <c r="A372" s="8" t="s">
        <v>22</v>
      </c>
      <c r="B372" s="31" t="s">
        <v>587</v>
      </c>
      <c r="C372" s="18" t="s">
        <v>984</v>
      </c>
      <c r="D372" s="18" t="s">
        <v>1037</v>
      </c>
      <c r="E372" s="69" t="s">
        <v>1038</v>
      </c>
      <c r="F372" s="8"/>
      <c r="G372" s="18" t="s">
        <v>62</v>
      </c>
      <c r="H372" s="18" t="s">
        <v>591</v>
      </c>
      <c r="I372" s="23">
        <v>1</v>
      </c>
      <c r="J372" s="8"/>
      <c r="K372" s="8"/>
      <c r="L372" s="8"/>
      <c r="M372" s="8"/>
      <c r="N372" s="8"/>
      <c r="O372" s="8"/>
      <c r="P372" s="8"/>
      <c r="Q372" s="157"/>
      <c r="R372" s="8"/>
      <c r="S372" s="8"/>
      <c r="T372" s="8"/>
      <c r="U372" s="8"/>
      <c r="V372" s="8"/>
      <c r="W372" s="8"/>
      <c r="X372" s="8"/>
      <c r="Y372" s="8"/>
      <c r="Z372" s="8"/>
      <c r="AA372" s="8"/>
      <c r="AB372" s="8"/>
      <c r="AC372" s="314" t="str">
        <f t="shared" si="93"/>
        <v>yes</v>
      </c>
      <c r="AD372" s="314">
        <f>COUNTA(first:Last!R372)</f>
        <v>1</v>
      </c>
      <c r="AE372" s="157">
        <f>SUM(first:Last!Z372)</f>
        <v>0</v>
      </c>
      <c r="AF372" s="157" t="str">
        <f t="shared" si="94"/>
        <v>yes</v>
      </c>
      <c r="AG372" s="157">
        <f>COUNTA(Last:end!M372)</f>
        <v>2</v>
      </c>
      <c r="AH372" s="520">
        <f>COUNTA(Last:end!M372)/6</f>
        <v>0.33333333333333331</v>
      </c>
      <c r="AI372" s="157">
        <f>SUM(Last:end!O372)</f>
        <v>0</v>
      </c>
      <c r="AJ372" s="157">
        <f>MIN(Last:end!L372)</f>
        <v>2023</v>
      </c>
      <c r="AK372" s="157" t="e">
        <f>IF(AND(AJ372&lt;=2023,#REF!="high interest / inadequate offer "),"yes","no")</f>
        <v>#REF!</v>
      </c>
      <c r="AL372" s="157" t="str">
        <f t="shared" si="92"/>
        <v>no</v>
      </c>
      <c r="AM372" s="157"/>
      <c r="AN372" s="157"/>
      <c r="AO372" s="157"/>
      <c r="AP372" s="157">
        <v>1</v>
      </c>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row>
    <row r="373" spans="1:209" s="26" customFormat="1" ht="62.25" customHeight="1">
      <c r="A373" s="8" t="s">
        <v>22</v>
      </c>
      <c r="B373" s="31" t="s">
        <v>587</v>
      </c>
      <c r="C373" s="18" t="s">
        <v>984</v>
      </c>
      <c r="D373" s="18" t="s">
        <v>1039</v>
      </c>
      <c r="E373" s="69" t="s">
        <v>1040</v>
      </c>
      <c r="F373" s="8"/>
      <c r="G373" s="18" t="s">
        <v>62</v>
      </c>
      <c r="H373" s="18" t="s">
        <v>591</v>
      </c>
      <c r="I373" s="23">
        <v>1</v>
      </c>
      <c r="J373" s="8"/>
      <c r="K373" s="8"/>
      <c r="L373" s="8"/>
      <c r="M373" s="8"/>
      <c r="N373" s="8"/>
      <c r="O373" s="8"/>
      <c r="P373" s="8"/>
      <c r="Q373" s="157"/>
      <c r="R373" s="8"/>
      <c r="S373" s="8"/>
      <c r="T373" s="8"/>
      <c r="U373" s="8"/>
      <c r="V373" s="8"/>
      <c r="W373" s="8"/>
      <c r="X373" s="8"/>
      <c r="Y373" s="8"/>
      <c r="Z373" s="8"/>
      <c r="AA373" s="8"/>
      <c r="AB373" s="8"/>
      <c r="AC373" s="314" t="str">
        <f t="shared" si="93"/>
        <v>yes</v>
      </c>
      <c r="AD373" s="314">
        <f>COUNTA(first:Last!R373)</f>
        <v>1</v>
      </c>
      <c r="AE373" s="157">
        <f>SUM(first:Last!Z373)</f>
        <v>0</v>
      </c>
      <c r="AF373" s="157" t="str">
        <f t="shared" si="94"/>
        <v>yes</v>
      </c>
      <c r="AG373" s="157">
        <f>COUNTA(Last:end!M373)</f>
        <v>2</v>
      </c>
      <c r="AH373" s="520">
        <f>COUNTA(Last:end!M373)/6</f>
        <v>0.33333333333333331</v>
      </c>
      <c r="AI373" s="157">
        <f>SUM(Last:end!O373)</f>
        <v>0</v>
      </c>
      <c r="AJ373" s="157">
        <f>MIN(Last:end!L373)</f>
        <v>2023</v>
      </c>
      <c r="AK373" s="157" t="e">
        <f>IF(AND(AJ373&lt;=2023,#REF!="high interest / inadequate offer "),"yes","no")</f>
        <v>#REF!</v>
      </c>
      <c r="AL373" s="157" t="str">
        <f t="shared" si="92"/>
        <v>no</v>
      </c>
      <c r="AM373" s="157"/>
      <c r="AN373" s="157"/>
      <c r="AO373" s="157"/>
      <c r="AP373" s="157">
        <v>1</v>
      </c>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row>
    <row r="374" spans="1:209" s="26" customFormat="1" ht="62.25" customHeight="1">
      <c r="A374" s="8" t="s">
        <v>22</v>
      </c>
      <c r="B374" s="31" t="s">
        <v>587</v>
      </c>
      <c r="C374" s="18" t="s">
        <v>984</v>
      </c>
      <c r="D374" s="18" t="s">
        <v>1041</v>
      </c>
      <c r="E374" s="69" t="s">
        <v>1042</v>
      </c>
      <c r="F374" s="8"/>
      <c r="G374" s="18" t="s">
        <v>62</v>
      </c>
      <c r="H374" s="18" t="s">
        <v>591</v>
      </c>
      <c r="I374" s="23">
        <v>1</v>
      </c>
      <c r="J374" s="8"/>
      <c r="K374" s="8"/>
      <c r="L374" s="8"/>
      <c r="M374" s="8"/>
      <c r="N374" s="8"/>
      <c r="O374" s="8"/>
      <c r="P374" s="8"/>
      <c r="Q374" s="157"/>
      <c r="R374" s="8"/>
      <c r="S374" s="8"/>
      <c r="T374" s="8"/>
      <c r="U374" s="8"/>
      <c r="V374" s="8"/>
      <c r="W374" s="8"/>
      <c r="X374" s="8"/>
      <c r="Y374" s="8"/>
      <c r="Z374" s="8"/>
      <c r="AA374" s="8"/>
      <c r="AB374" s="8"/>
      <c r="AC374" s="314" t="str">
        <f t="shared" si="93"/>
        <v>no</v>
      </c>
      <c r="AD374" s="314">
        <f>COUNTA(first:Last!R374)</f>
        <v>0</v>
      </c>
      <c r="AE374" s="157">
        <f>SUM(first:Last!Z374)</f>
        <v>0</v>
      </c>
      <c r="AF374" s="157" t="str">
        <f t="shared" si="94"/>
        <v>yes</v>
      </c>
      <c r="AG374" s="157">
        <f>COUNTA(Last:end!M374)</f>
        <v>2</v>
      </c>
      <c r="AH374" s="520">
        <f>COUNTA(Last:end!M374)/6</f>
        <v>0.33333333333333331</v>
      </c>
      <c r="AI374" s="157">
        <f>SUM(Last:end!O374)</f>
        <v>0</v>
      </c>
      <c r="AJ374" s="157">
        <f>MIN(Last:end!L374)</f>
        <v>2023</v>
      </c>
      <c r="AK374" s="157" t="e">
        <f>IF(AND(AJ374&lt;=2023,#REF!="high interest / inadequate offer "),"yes","no")</f>
        <v>#REF!</v>
      </c>
      <c r="AL374" s="157" t="str">
        <f t="shared" si="92"/>
        <v>no</v>
      </c>
      <c r="AM374" s="157"/>
      <c r="AN374" s="157"/>
      <c r="AO374" s="157"/>
      <c r="AP374" s="157">
        <v>1</v>
      </c>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row>
    <row r="375" spans="1:209" s="26" customFormat="1" ht="62.25" customHeight="1">
      <c r="A375" s="8" t="s">
        <v>22</v>
      </c>
      <c r="B375" s="31" t="s">
        <v>587</v>
      </c>
      <c r="C375" s="18" t="s">
        <v>984</v>
      </c>
      <c r="D375" s="18" t="s">
        <v>1043</v>
      </c>
      <c r="E375" s="69" t="s">
        <v>1044</v>
      </c>
      <c r="F375" s="8"/>
      <c r="G375" s="18" t="s">
        <v>62</v>
      </c>
      <c r="H375" s="18" t="s">
        <v>591</v>
      </c>
      <c r="I375" s="23">
        <v>1</v>
      </c>
      <c r="J375" s="8"/>
      <c r="K375" s="8"/>
      <c r="L375" s="8"/>
      <c r="M375" s="8"/>
      <c r="N375" s="8"/>
      <c r="O375" s="8"/>
      <c r="P375" s="8"/>
      <c r="Q375" s="157"/>
      <c r="R375" s="8"/>
      <c r="S375" s="8"/>
      <c r="T375" s="8"/>
      <c r="U375" s="8"/>
      <c r="V375" s="8"/>
      <c r="W375" s="8"/>
      <c r="X375" s="8"/>
      <c r="Y375" s="8"/>
      <c r="Z375" s="8"/>
      <c r="AA375" s="8"/>
      <c r="AB375" s="8"/>
      <c r="AC375" s="314" t="str">
        <f t="shared" si="93"/>
        <v>no</v>
      </c>
      <c r="AD375" s="314">
        <f>COUNTA(first:Last!R375)</f>
        <v>0</v>
      </c>
      <c r="AE375" s="157">
        <f>SUM(first:Last!Z375)</f>
        <v>0</v>
      </c>
      <c r="AF375" s="157" t="str">
        <f t="shared" si="94"/>
        <v>yes</v>
      </c>
      <c r="AG375" s="157">
        <f>COUNTA(Last:end!M375)</f>
        <v>2</v>
      </c>
      <c r="AH375" s="520">
        <f>COUNTA(Last:end!M375)/6</f>
        <v>0.33333333333333331</v>
      </c>
      <c r="AI375" s="157">
        <f>SUM(Last:end!O375)</f>
        <v>0</v>
      </c>
      <c r="AJ375" s="157">
        <f>MIN(Last:end!L375)</f>
        <v>2023</v>
      </c>
      <c r="AK375" s="157" t="e">
        <f>IF(AND(AJ375&lt;=2023,#REF!="high interest / inadequate offer "),"yes","no")</f>
        <v>#REF!</v>
      </c>
      <c r="AL375" s="157" t="str">
        <f t="shared" si="92"/>
        <v>no</v>
      </c>
      <c r="AM375" s="157"/>
      <c r="AN375" s="157"/>
      <c r="AO375" s="157"/>
      <c r="AP375" s="157">
        <v>1</v>
      </c>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row>
    <row r="376" spans="1:209" s="26" customFormat="1" ht="62.25" customHeight="1">
      <c r="A376" s="8" t="s">
        <v>22</v>
      </c>
      <c r="B376" s="31" t="s">
        <v>587</v>
      </c>
      <c r="C376" s="18" t="s">
        <v>1045</v>
      </c>
      <c r="D376" s="18" t="s">
        <v>1046</v>
      </c>
      <c r="E376" s="18" t="s">
        <v>1047</v>
      </c>
      <c r="F376" s="8"/>
      <c r="G376" s="24" t="s">
        <v>62</v>
      </c>
      <c r="H376" s="20"/>
      <c r="I376" s="20"/>
      <c r="J376" s="20"/>
      <c r="K376" s="20"/>
      <c r="L376" s="20"/>
      <c r="M376" s="20"/>
      <c r="N376" s="20"/>
      <c r="O376" s="20"/>
      <c r="P376" s="8"/>
      <c r="Q376" s="157"/>
      <c r="R376" s="20"/>
      <c r="S376" s="20"/>
      <c r="T376" s="20"/>
      <c r="U376" s="20"/>
      <c r="V376" s="20"/>
      <c r="W376" s="20"/>
      <c r="X376" s="20"/>
      <c r="Y376" s="20"/>
      <c r="Z376" s="20"/>
      <c r="AA376" s="20"/>
      <c r="AB376" s="20"/>
      <c r="AC376" s="65"/>
      <c r="AD376" s="65"/>
      <c r="AE376" s="65"/>
      <c r="AF376" s="65"/>
      <c r="AG376" s="157">
        <f>COUNTA(Last:end!M376)</f>
        <v>0</v>
      </c>
      <c r="AH376" s="520">
        <f>COUNTA(Last:end!M376)/6</f>
        <v>0</v>
      </c>
      <c r="AI376" s="65"/>
      <c r="AJ376" s="157">
        <f>MIN(Last:end!L376)</f>
        <v>0</v>
      </c>
      <c r="AK376" s="157" t="e">
        <f>IF(AND(AJ376&lt;=2023,#REF!="high interest / inadequate offer "),"yes","no")</f>
        <v>#REF!</v>
      </c>
      <c r="AL376" s="157" t="str">
        <f t="shared" si="92"/>
        <v>no</v>
      </c>
      <c r="AM376" s="157"/>
      <c r="AN376" s="157"/>
      <c r="AO376" s="157"/>
      <c r="AP376" s="157">
        <v>0</v>
      </c>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row>
    <row r="377" spans="1:209" s="26" customFormat="1" ht="62.25" customHeight="1">
      <c r="A377" s="8" t="s">
        <v>22</v>
      </c>
      <c r="B377" s="31" t="s">
        <v>587</v>
      </c>
      <c r="C377" s="18" t="s">
        <v>1045</v>
      </c>
      <c r="D377" s="18" t="s">
        <v>1048</v>
      </c>
      <c r="E377" s="69" t="s">
        <v>1049</v>
      </c>
      <c r="F377" s="8"/>
      <c r="G377" s="18" t="s">
        <v>62</v>
      </c>
      <c r="H377" s="18" t="s">
        <v>735</v>
      </c>
      <c r="I377" s="23">
        <v>1</v>
      </c>
      <c r="J377" s="8"/>
      <c r="K377" s="8"/>
      <c r="L377" s="8"/>
      <c r="M377" s="8"/>
      <c r="N377" s="8"/>
      <c r="O377" s="8"/>
      <c r="P377" s="8"/>
      <c r="Q377" s="157"/>
      <c r="R377" s="8"/>
      <c r="S377" s="8"/>
      <c r="T377" s="8"/>
      <c r="U377" s="8"/>
      <c r="V377" s="8"/>
      <c r="W377" s="8"/>
      <c r="X377" s="8"/>
      <c r="Y377" s="8"/>
      <c r="Z377" s="8"/>
      <c r="AA377" s="8"/>
      <c r="AB377" s="8"/>
      <c r="AC377" s="314" t="str">
        <f t="shared" ref="AC377:AC381" si="95">IF(AD377&gt;0,"yes", "no")</f>
        <v>yes</v>
      </c>
      <c r="AD377" s="314">
        <f>COUNTA(first:Last!R377)</f>
        <v>1</v>
      </c>
      <c r="AE377" s="157">
        <f>SUM(first:Last!Z377)</f>
        <v>0</v>
      </c>
      <c r="AF377" s="157" t="str">
        <f t="shared" ref="AF377:AF381" si="96">IF(AH377&gt;0,"yes", "no")</f>
        <v>yes</v>
      </c>
      <c r="AG377" s="157">
        <f>COUNTA(Last:end!M377)</f>
        <v>1</v>
      </c>
      <c r="AH377" s="520">
        <f>COUNTA(Last:end!M377)/6</f>
        <v>0.16666666666666666</v>
      </c>
      <c r="AI377" s="157">
        <f>SUM(Last:end!O377)</f>
        <v>0</v>
      </c>
      <c r="AJ377" s="157">
        <f>MIN(Last:end!L377)</f>
        <v>0</v>
      </c>
      <c r="AK377" s="157" t="e">
        <f>IF(AND(AJ377&lt;=2023,#REF!="high interest / inadequate offer "),"yes","no")</f>
        <v>#REF!</v>
      </c>
      <c r="AL377" s="157" t="str">
        <f t="shared" si="92"/>
        <v>no</v>
      </c>
      <c r="AM377" s="157"/>
      <c r="AN377" s="157"/>
      <c r="AO377" s="157"/>
      <c r="AP377" s="157">
        <v>1</v>
      </c>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row>
    <row r="378" spans="1:209" s="26" customFormat="1" ht="62.25" customHeight="1">
      <c r="A378" s="8" t="s">
        <v>22</v>
      </c>
      <c r="B378" s="31" t="s">
        <v>587</v>
      </c>
      <c r="C378" s="18" t="s">
        <v>1045</v>
      </c>
      <c r="D378" s="18" t="s">
        <v>1050</v>
      </c>
      <c r="E378" s="69" t="s">
        <v>1051</v>
      </c>
      <c r="F378" s="8"/>
      <c r="G378" s="18" t="s">
        <v>62</v>
      </c>
      <c r="H378" s="18" t="s">
        <v>428</v>
      </c>
      <c r="I378" s="23">
        <v>0.5</v>
      </c>
      <c r="J378" s="8"/>
      <c r="K378" s="8"/>
      <c r="L378" s="8"/>
      <c r="M378" s="8"/>
      <c r="N378" s="8"/>
      <c r="O378" s="8"/>
      <c r="P378" s="8"/>
      <c r="Q378" s="157"/>
      <c r="R378" s="8"/>
      <c r="S378" s="8"/>
      <c r="T378" s="8"/>
      <c r="U378" s="8"/>
      <c r="V378" s="8"/>
      <c r="W378" s="8"/>
      <c r="X378" s="8"/>
      <c r="Y378" s="8"/>
      <c r="Z378" s="8"/>
      <c r="AA378" s="8"/>
      <c r="AB378" s="8"/>
      <c r="AC378" s="314" t="str">
        <f t="shared" si="95"/>
        <v>yes</v>
      </c>
      <c r="AD378" s="314">
        <f>COUNTA(first:Last!R378)</f>
        <v>1</v>
      </c>
      <c r="AE378" s="157">
        <f>SUM(first:Last!Z378)</f>
        <v>0</v>
      </c>
      <c r="AF378" s="157" t="str">
        <f t="shared" si="96"/>
        <v>yes</v>
      </c>
      <c r="AG378" s="157">
        <f>COUNTA(Last:end!M378)</f>
        <v>2</v>
      </c>
      <c r="AH378" s="520">
        <f>COUNTA(Last:end!M378)/6</f>
        <v>0.33333333333333331</v>
      </c>
      <c r="AI378" s="157">
        <f>SUM(Last:end!O378)</f>
        <v>0</v>
      </c>
      <c r="AJ378" s="157">
        <f>MIN(Last:end!L378)</f>
        <v>2023</v>
      </c>
      <c r="AK378" s="157" t="e">
        <f>IF(AND(AJ378&lt;=2023,#REF!="high interest / inadequate offer "),"yes","no")</f>
        <v>#REF!</v>
      </c>
      <c r="AL378" s="157" t="str">
        <f t="shared" si="92"/>
        <v>no</v>
      </c>
      <c r="AM378" s="157"/>
      <c r="AN378" s="157"/>
      <c r="AO378" s="157"/>
      <c r="AP378" s="157">
        <v>1</v>
      </c>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row>
    <row r="379" spans="1:209" s="26" customFormat="1" ht="62.25"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8"/>
      <c r="Q379" s="157"/>
      <c r="R379" s="8"/>
      <c r="S379" s="8"/>
      <c r="T379" s="8"/>
      <c r="U379" s="8"/>
      <c r="V379" s="8"/>
      <c r="W379" s="8"/>
      <c r="X379" s="8"/>
      <c r="Y379" s="8"/>
      <c r="Z379" s="8"/>
      <c r="AA379" s="8"/>
      <c r="AB379" s="8"/>
      <c r="AC379" s="314" t="str">
        <f t="shared" si="95"/>
        <v>no</v>
      </c>
      <c r="AD379" s="314">
        <f>COUNTA(first:Last!R379)</f>
        <v>0</v>
      </c>
      <c r="AE379" s="157">
        <f>SUM(first:Last!Z379)</f>
        <v>0</v>
      </c>
      <c r="AF379" s="157" t="str">
        <f t="shared" si="96"/>
        <v>yes</v>
      </c>
      <c r="AG379" s="157">
        <f>COUNTA(Last:end!M379)</f>
        <v>2</v>
      </c>
      <c r="AH379" s="520">
        <f>COUNTA(Last:end!M379)/6</f>
        <v>0.33333333333333331</v>
      </c>
      <c r="AI379" s="157">
        <f>SUM(Last:end!O379)</f>
        <v>0</v>
      </c>
      <c r="AJ379" s="157">
        <f>MIN(Last:end!L379)</f>
        <v>2023</v>
      </c>
      <c r="AK379" s="157" t="e">
        <f>IF(AND(AJ379&lt;=2023,#REF!="high interest / inadequate offer "),"yes","no")</f>
        <v>#REF!</v>
      </c>
      <c r="AL379" s="157" t="str">
        <f t="shared" si="92"/>
        <v>no</v>
      </c>
      <c r="AM379" s="157"/>
      <c r="AN379" s="157"/>
      <c r="AO379" s="157"/>
      <c r="AP379" s="157">
        <v>1</v>
      </c>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row>
    <row r="380" spans="1:209" s="26" customFormat="1" ht="62.25"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8"/>
      <c r="Q380" s="157"/>
      <c r="R380" s="8"/>
      <c r="S380" s="8"/>
      <c r="T380" s="8"/>
      <c r="U380" s="8"/>
      <c r="V380" s="8"/>
      <c r="W380" s="8"/>
      <c r="X380" s="8"/>
      <c r="Y380" s="8"/>
      <c r="Z380" s="8"/>
      <c r="AA380" s="8"/>
      <c r="AB380" s="8"/>
      <c r="AC380" s="314" t="str">
        <f t="shared" si="95"/>
        <v>yes</v>
      </c>
      <c r="AD380" s="314">
        <f>COUNTA(first:Last!R380)</f>
        <v>1</v>
      </c>
      <c r="AE380" s="157">
        <f>SUM(first:Last!Z380)</f>
        <v>0</v>
      </c>
      <c r="AF380" s="157" t="str">
        <f t="shared" si="96"/>
        <v>yes</v>
      </c>
      <c r="AG380" s="157">
        <f>COUNTA(Last:end!M380)</f>
        <v>3</v>
      </c>
      <c r="AH380" s="520">
        <f>COUNTA(Last:end!M380)/6</f>
        <v>0.5</v>
      </c>
      <c r="AI380" s="157">
        <f>SUM(Last:end!O380)</f>
        <v>0</v>
      </c>
      <c r="AJ380" s="157">
        <f>MIN(Last:end!L380)</f>
        <v>2023</v>
      </c>
      <c r="AK380" s="157" t="e">
        <f>IF(AND(AJ380&lt;=2023,#REF!="high interest / inadequate offer "),"yes","no")</f>
        <v>#REF!</v>
      </c>
      <c r="AL380" s="157" t="str">
        <f t="shared" si="92"/>
        <v>no</v>
      </c>
      <c r="AM380" s="157"/>
      <c r="AN380" s="157"/>
      <c r="AO380" s="157"/>
      <c r="AP380" s="157">
        <v>1</v>
      </c>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row>
    <row r="381" spans="1:209" s="26" customFormat="1" ht="62.25"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8"/>
      <c r="Q381" s="157"/>
      <c r="R381" s="8"/>
      <c r="S381" s="8"/>
      <c r="T381" s="8"/>
      <c r="U381" s="8"/>
      <c r="V381" s="8"/>
      <c r="W381" s="8"/>
      <c r="X381" s="8"/>
      <c r="Y381" s="8"/>
      <c r="Z381" s="8"/>
      <c r="AA381" s="8"/>
      <c r="AB381" s="8"/>
      <c r="AC381" s="314" t="str">
        <f t="shared" si="95"/>
        <v>no</v>
      </c>
      <c r="AD381" s="314">
        <f>COUNTA(first:Last!R381)</f>
        <v>0</v>
      </c>
      <c r="AE381" s="157">
        <f>SUM(first:Last!Z381)</f>
        <v>0</v>
      </c>
      <c r="AF381" s="157" t="str">
        <f t="shared" si="96"/>
        <v>yes</v>
      </c>
      <c r="AG381" s="157">
        <f>COUNTA(Last:end!M381)</f>
        <v>2</v>
      </c>
      <c r="AH381" s="520">
        <f>COUNTA(Last:end!M381)/6</f>
        <v>0.33333333333333331</v>
      </c>
      <c r="AI381" s="157">
        <f>SUM(Last:end!O381)</f>
        <v>0</v>
      </c>
      <c r="AJ381" s="157">
        <f>MIN(Last:end!L381)</f>
        <v>2023</v>
      </c>
      <c r="AK381" s="157" t="e">
        <f>IF(AND(AJ381&lt;=2023,#REF!="high interest / inadequate offer "),"yes","no")</f>
        <v>#REF!</v>
      </c>
      <c r="AL381" s="157" t="str">
        <f t="shared" si="92"/>
        <v>no</v>
      </c>
      <c r="AM381" s="157"/>
      <c r="AN381" s="157"/>
      <c r="AO381" s="157"/>
      <c r="AP381" s="157">
        <v>1</v>
      </c>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row>
    <row r="382" spans="1:209" s="26" customFormat="1" ht="15.75">
      <c r="A382" s="556" t="s">
        <v>1062</v>
      </c>
      <c r="B382" s="118"/>
      <c r="C382" s="119"/>
      <c r="D382" s="119"/>
      <c r="E382" s="119"/>
      <c r="F382" s="120"/>
      <c r="G382" s="119"/>
      <c r="H382" s="119"/>
      <c r="I382" s="121"/>
      <c r="J382" s="120"/>
      <c r="K382" s="120"/>
      <c r="L382" s="120"/>
      <c r="M382" s="120"/>
      <c r="N382" s="120"/>
      <c r="O382" s="120"/>
      <c r="P382" s="120"/>
      <c r="Q382" s="120"/>
      <c r="R382" s="120"/>
      <c r="S382" s="120"/>
      <c r="T382" s="120"/>
      <c r="U382" s="120"/>
      <c r="V382" s="120"/>
      <c r="W382" s="120"/>
      <c r="X382" s="120"/>
      <c r="Y382" s="120"/>
      <c r="Z382" s="120"/>
      <c r="AA382" s="120"/>
      <c r="AB382" s="120"/>
      <c r="AC382" s="157"/>
      <c r="AD382" s="157"/>
      <c r="AE382" s="157"/>
      <c r="AF382" s="157"/>
      <c r="AG382" s="157"/>
      <c r="AH382" s="157"/>
      <c r="AI382" s="157"/>
      <c r="AJ382" s="157"/>
      <c r="AK382" s="157"/>
      <c r="AL382" s="157"/>
      <c r="AM382" s="157"/>
      <c r="AN382" s="157"/>
      <c r="AO382" s="157"/>
      <c r="AP382" s="157">
        <v>0</v>
      </c>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row>
    <row r="383" spans="1:209" s="26" customFormat="1" ht="62.25" customHeight="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8"/>
      <c r="Q383" s="157"/>
      <c r="R383" s="8"/>
      <c r="S383" s="8"/>
      <c r="T383" s="8"/>
      <c r="U383" s="8"/>
      <c r="V383" s="8"/>
      <c r="W383" s="8"/>
      <c r="X383" s="8"/>
      <c r="Y383" s="8"/>
      <c r="Z383" s="8"/>
      <c r="AA383" s="8"/>
      <c r="AB383" s="8"/>
      <c r="AC383" s="314" t="str">
        <f t="shared" ref="AC383:AC385" si="97">IF(AD383&gt;0,"yes", "no")</f>
        <v>yes</v>
      </c>
      <c r="AD383" s="314">
        <f>COUNTA(first:Last!R383)</f>
        <v>3</v>
      </c>
      <c r="AE383" s="157">
        <f>SUM(first:Last!Z383)</f>
        <v>0</v>
      </c>
      <c r="AF383" s="157" t="str">
        <f t="shared" ref="AF383:AF385" si="98">IF(AH383&gt;0,"yes", "no")</f>
        <v>yes</v>
      </c>
      <c r="AG383" s="157">
        <f>COUNTA(Last:end!M383)</f>
        <v>1</v>
      </c>
      <c r="AH383" s="520">
        <f>COUNTA(Last:end!M383)/6</f>
        <v>0.16666666666666666</v>
      </c>
      <c r="AI383" s="157">
        <f>SUM(Last:end!O383)</f>
        <v>18000</v>
      </c>
      <c r="AJ383" s="157">
        <f>MIN(Last:end!L383)</f>
        <v>0</v>
      </c>
      <c r="AK383" s="157" t="e">
        <f>IF(AND(AJ383&lt;=2023,#REF!="high interest / inadequate offer "),"yes","no")</f>
        <v>#REF!</v>
      </c>
      <c r="AL383" s="157" t="str">
        <f>IF(AD383&gt;1,"yes", "no")</f>
        <v>yes</v>
      </c>
      <c r="AM383" s="157"/>
      <c r="AN383" s="157"/>
      <c r="AO383" s="157"/>
      <c r="AP383" s="157">
        <v>1</v>
      </c>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row>
    <row r="384" spans="1:209" s="26" customFormat="1" ht="62.25" customHeight="1">
      <c r="A384" s="8" t="s">
        <v>24</v>
      </c>
      <c r="B384" s="31" t="s">
        <v>54</v>
      </c>
      <c r="C384" s="18" t="s">
        <v>1068</v>
      </c>
      <c r="D384" s="18" t="s">
        <v>1069</v>
      </c>
      <c r="E384" s="18" t="s">
        <v>1070</v>
      </c>
      <c r="F384" s="8"/>
      <c r="G384" s="18" t="s">
        <v>62</v>
      </c>
      <c r="H384" s="18" t="s">
        <v>1071</v>
      </c>
      <c r="I384" s="18" t="s">
        <v>1072</v>
      </c>
      <c r="J384" s="8"/>
      <c r="K384" s="8"/>
      <c r="L384" s="8"/>
      <c r="M384" s="8"/>
      <c r="N384" s="8"/>
      <c r="O384" s="8"/>
      <c r="P384" s="8"/>
      <c r="Q384" s="157"/>
      <c r="R384" s="8"/>
      <c r="S384" s="8"/>
      <c r="T384" s="8"/>
      <c r="U384" s="8"/>
      <c r="V384" s="8"/>
      <c r="W384" s="8"/>
      <c r="X384" s="8"/>
      <c r="Y384" s="8"/>
      <c r="Z384" s="8"/>
      <c r="AA384" s="8"/>
      <c r="AB384" s="8"/>
      <c r="AC384" s="314" t="str">
        <f t="shared" si="97"/>
        <v>yes</v>
      </c>
      <c r="AD384" s="314">
        <f>COUNTA(first:Last!R384)</f>
        <v>2</v>
      </c>
      <c r="AE384" s="157">
        <f>SUM(first:Last!Z384)</f>
        <v>0</v>
      </c>
      <c r="AF384" s="157" t="str">
        <f t="shared" si="98"/>
        <v>yes</v>
      </c>
      <c r="AG384" s="157">
        <f>COUNTA(Last:end!M384)</f>
        <v>1</v>
      </c>
      <c r="AH384" s="520">
        <f>COUNTA(Last:end!M384)/6</f>
        <v>0.16666666666666666</v>
      </c>
      <c r="AI384" s="157">
        <f>SUM(Last:end!O384)</f>
        <v>0</v>
      </c>
      <c r="AJ384" s="157">
        <f>MIN(Last:end!L384)</f>
        <v>0</v>
      </c>
      <c r="AK384" s="157" t="e">
        <f>IF(AND(AJ384&lt;=2023,#REF!="high interest / inadequate offer "),"yes","no")</f>
        <v>#REF!</v>
      </c>
      <c r="AL384" s="157" t="str">
        <f>IF(AD384&gt;1,"yes", "no")</f>
        <v>yes</v>
      </c>
      <c r="AM384" s="157"/>
      <c r="AN384" s="157"/>
      <c r="AO384" s="157"/>
      <c r="AP384" s="157">
        <v>1</v>
      </c>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row>
    <row r="385" spans="1:209" ht="62.25" customHeight="1">
      <c r="A385" s="8" t="s">
        <v>24</v>
      </c>
      <c r="B385" s="31" t="s">
        <v>54</v>
      </c>
      <c r="C385" s="18" t="s">
        <v>1068</v>
      </c>
      <c r="D385" s="18" t="s">
        <v>1073</v>
      </c>
      <c r="E385" s="18" t="s">
        <v>1074</v>
      </c>
      <c r="F385" s="8"/>
      <c r="G385" s="18" t="s">
        <v>62</v>
      </c>
      <c r="H385" s="18" t="s">
        <v>182</v>
      </c>
      <c r="I385" s="23">
        <v>1</v>
      </c>
      <c r="J385" s="8"/>
      <c r="K385" s="8"/>
      <c r="L385" s="8"/>
      <c r="M385" s="8"/>
      <c r="N385" s="8"/>
      <c r="O385" s="8"/>
      <c r="P385" s="8"/>
      <c r="Q385" s="157"/>
      <c r="R385" s="8"/>
      <c r="S385" s="8"/>
      <c r="T385" s="8"/>
      <c r="U385" s="8"/>
      <c r="V385" s="8"/>
      <c r="W385" s="8"/>
      <c r="X385" s="8"/>
      <c r="Y385" s="8"/>
      <c r="Z385" s="8"/>
      <c r="AA385" s="8"/>
      <c r="AB385" s="8"/>
      <c r="AC385" s="314" t="str">
        <f t="shared" si="97"/>
        <v>no</v>
      </c>
      <c r="AD385" s="314">
        <f>COUNTA(first:Last!R385)</f>
        <v>0</v>
      </c>
      <c r="AE385" s="157">
        <f>SUM(first:Last!Z385)</f>
        <v>0</v>
      </c>
      <c r="AF385" s="157" t="str">
        <f t="shared" si="98"/>
        <v>yes</v>
      </c>
      <c r="AG385" s="157">
        <f>COUNTA(Last:end!M385)</f>
        <v>1</v>
      </c>
      <c r="AH385" s="520">
        <f>COUNTA(Last:end!M385)/6</f>
        <v>0.16666666666666666</v>
      </c>
      <c r="AI385" s="157">
        <f>SUM(Last:end!O385)</f>
        <v>0</v>
      </c>
      <c r="AJ385" s="157">
        <f>MIN(Last:end!L385)</f>
        <v>0</v>
      </c>
      <c r="AK385" s="157" t="e">
        <f>IF(AND(AJ385&lt;=2023,#REF!="high interest / inadequate offer "),"yes","no")</f>
        <v>#REF!</v>
      </c>
      <c r="AL385" s="157" t="str">
        <f>IF(AD385&gt;1,"yes", "no")</f>
        <v>no</v>
      </c>
      <c r="AM385" s="157"/>
      <c r="AN385" s="157"/>
      <c r="AO385" s="157"/>
      <c r="AP385" s="157">
        <v>1</v>
      </c>
    </row>
    <row r="386" spans="1:209" s="2" customFormat="1" ht="31.5">
      <c r="A386" s="20" t="s">
        <v>24</v>
      </c>
      <c r="B386" s="32" t="s">
        <v>54</v>
      </c>
      <c r="C386" s="24" t="s">
        <v>1075</v>
      </c>
      <c r="D386" s="19" t="s">
        <v>582</v>
      </c>
      <c r="E386" s="24" t="s">
        <v>582</v>
      </c>
      <c r="F386" s="24" t="s">
        <v>582</v>
      </c>
      <c r="G386" s="19" t="s">
        <v>582</v>
      </c>
      <c r="H386" s="19" t="s">
        <v>582</v>
      </c>
      <c r="I386" s="19" t="s">
        <v>582</v>
      </c>
      <c r="J386" s="19" t="s">
        <v>582</v>
      </c>
      <c r="K386" s="19" t="s">
        <v>582</v>
      </c>
      <c r="L386" s="19" t="s">
        <v>582</v>
      </c>
      <c r="M386" s="19" t="s">
        <v>582</v>
      </c>
      <c r="N386" s="19" t="s">
        <v>582</v>
      </c>
      <c r="O386" s="19" t="s">
        <v>582</v>
      </c>
      <c r="P386" s="19" t="s">
        <v>582</v>
      </c>
      <c r="Q386" s="549"/>
      <c r="R386" s="19" t="s">
        <v>582</v>
      </c>
      <c r="S386" s="19" t="s">
        <v>582</v>
      </c>
      <c r="T386" s="19" t="s">
        <v>582</v>
      </c>
      <c r="U386" s="19"/>
      <c r="V386" s="19" t="s">
        <v>582</v>
      </c>
      <c r="W386" s="19" t="s">
        <v>582</v>
      </c>
      <c r="X386" s="19" t="s">
        <v>582</v>
      </c>
      <c r="Y386" s="19" t="s">
        <v>582</v>
      </c>
      <c r="Z386" s="19" t="s">
        <v>582</v>
      </c>
      <c r="AA386" s="19" t="s">
        <v>582</v>
      </c>
      <c r="AB386" s="19"/>
      <c r="AC386" s="157"/>
      <c r="AD386" s="157"/>
      <c r="AE386" s="157"/>
      <c r="AF386" s="157"/>
      <c r="AG386" s="157"/>
      <c r="AH386" s="157"/>
      <c r="AI386" s="157"/>
      <c r="AJ386" s="157"/>
      <c r="AK386" s="157"/>
      <c r="AL386" s="157"/>
      <c r="AM386" s="157"/>
      <c r="AN386" s="157"/>
      <c r="AO386" s="157"/>
      <c r="AP386" s="157">
        <v>0</v>
      </c>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row>
    <row r="387" spans="1:209" s="2" customFormat="1" ht="62.25" customHeight="1">
      <c r="A387" s="8" t="s">
        <v>24</v>
      </c>
      <c r="B387" s="31" t="s">
        <v>195</v>
      </c>
      <c r="C387" s="18" t="s">
        <v>1076</v>
      </c>
      <c r="D387" s="18" t="s">
        <v>1077</v>
      </c>
      <c r="E387" s="18" t="s">
        <v>1078</v>
      </c>
      <c r="F387" s="8"/>
      <c r="G387" s="24" t="s">
        <v>62</v>
      </c>
      <c r="H387" s="24"/>
      <c r="I387" s="25"/>
      <c r="J387" s="20"/>
      <c r="K387" s="20"/>
      <c r="L387" s="20"/>
      <c r="M387" s="20"/>
      <c r="N387" s="20"/>
      <c r="O387" s="20"/>
      <c r="P387" s="20"/>
      <c r="Q387" s="157"/>
      <c r="R387" s="20"/>
      <c r="S387" s="20"/>
      <c r="T387" s="20"/>
      <c r="U387" s="20"/>
      <c r="V387" s="20"/>
      <c r="W387" s="20"/>
      <c r="X387" s="20"/>
      <c r="Y387" s="20"/>
      <c r="Z387" s="20"/>
      <c r="AA387" s="20"/>
      <c r="AB387" s="20"/>
      <c r="AC387" s="65"/>
      <c r="AD387" s="65"/>
      <c r="AE387" s="65"/>
      <c r="AF387" s="65"/>
      <c r="AG387" s="157">
        <f>COUNTA(Last:end!M387)</f>
        <v>0</v>
      </c>
      <c r="AH387" s="520">
        <f>COUNTA(Last:end!M387)/6</f>
        <v>0</v>
      </c>
      <c r="AI387" s="65"/>
      <c r="AJ387" s="157">
        <f>MIN(Last:end!L387)</f>
        <v>0</v>
      </c>
      <c r="AK387" s="157" t="e">
        <f>IF(AND(AJ387&lt;=2023,#REF!="high interest / inadequate offer "),"yes","no")</f>
        <v>#REF!</v>
      </c>
      <c r="AL387" s="157" t="str">
        <f>IF(AD387&gt;1,"yes", "no")</f>
        <v>no</v>
      </c>
      <c r="AM387" s="157"/>
      <c r="AN387" s="157"/>
      <c r="AO387" s="157"/>
      <c r="AP387" s="157">
        <v>0</v>
      </c>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row>
    <row r="388" spans="1:209" ht="62.25"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8"/>
      <c r="Q388" s="157"/>
      <c r="R388" s="8"/>
      <c r="S388" s="8"/>
      <c r="T388" s="8"/>
      <c r="U388" s="8"/>
      <c r="V388" s="8"/>
      <c r="W388" s="8"/>
      <c r="X388" s="8"/>
      <c r="Y388" s="8"/>
      <c r="Z388" s="8"/>
      <c r="AA388" s="8"/>
      <c r="AB388" s="8"/>
      <c r="AC388" s="314" t="str">
        <f t="shared" ref="AC388:AC389" si="99">IF(AD388&gt;0,"yes", "no")</f>
        <v>no</v>
      </c>
      <c r="AD388" s="314">
        <f>COUNTA(first:Last!R388)</f>
        <v>0</v>
      </c>
      <c r="AE388" s="157">
        <f>SUM(first:Last!Z388)</f>
        <v>0</v>
      </c>
      <c r="AF388" s="157" t="str">
        <f t="shared" ref="AF388:AF389" si="100">IF(AH388&gt;0,"yes", "no")</f>
        <v>yes</v>
      </c>
      <c r="AG388" s="157">
        <f>COUNTA(Last:end!M388)</f>
        <v>1</v>
      </c>
      <c r="AH388" s="520">
        <f>COUNTA(Last:end!M388)/6</f>
        <v>0.16666666666666666</v>
      </c>
      <c r="AI388" s="157">
        <f>SUM(Last:end!O388)</f>
        <v>0</v>
      </c>
      <c r="AJ388" s="157">
        <f>MIN(Last:end!L388)</f>
        <v>2023</v>
      </c>
      <c r="AK388" s="157" t="e">
        <f>IF(AND(AJ388&lt;=2023,#REF!="high interest / inadequate offer "),"yes","no")</f>
        <v>#REF!</v>
      </c>
      <c r="AL388" s="157" t="str">
        <f>IF(AD388&gt;1,"yes", "no")</f>
        <v>no</v>
      </c>
      <c r="AM388" s="157"/>
      <c r="AN388" s="157"/>
      <c r="AO388" s="157"/>
      <c r="AP388" s="157">
        <v>1</v>
      </c>
    </row>
    <row r="389" spans="1:209" ht="62.25" customHeight="1">
      <c r="A389" s="8" t="s">
        <v>24</v>
      </c>
      <c r="B389" s="31" t="s">
        <v>195</v>
      </c>
      <c r="C389" s="18" t="s">
        <v>1076</v>
      </c>
      <c r="D389" s="18" t="s">
        <v>1082</v>
      </c>
      <c r="E389" s="69" t="s">
        <v>1083</v>
      </c>
      <c r="F389" s="8"/>
      <c r="G389" s="18" t="s">
        <v>62</v>
      </c>
      <c r="H389" s="18" t="s">
        <v>1084</v>
      </c>
      <c r="I389" s="23">
        <v>1</v>
      </c>
      <c r="J389" s="8"/>
      <c r="K389" s="8"/>
      <c r="L389" s="8"/>
      <c r="M389" s="8"/>
      <c r="N389" s="8"/>
      <c r="O389" s="8"/>
      <c r="P389" s="8"/>
      <c r="Q389" s="157"/>
      <c r="R389" s="8"/>
      <c r="S389" s="8"/>
      <c r="T389" s="8"/>
      <c r="U389" s="8"/>
      <c r="V389" s="8"/>
      <c r="W389" s="8"/>
      <c r="X389" s="8"/>
      <c r="Y389" s="8"/>
      <c r="Z389" s="8"/>
      <c r="AA389" s="8"/>
      <c r="AB389" s="8"/>
      <c r="AC389" s="314" t="str">
        <f t="shared" si="99"/>
        <v>no</v>
      </c>
      <c r="AD389" s="314">
        <f>COUNTA(first:Last!R389)</f>
        <v>0</v>
      </c>
      <c r="AE389" s="157">
        <f>SUM(first:Last!Z389)</f>
        <v>0</v>
      </c>
      <c r="AF389" s="157" t="str">
        <f t="shared" si="100"/>
        <v>yes</v>
      </c>
      <c r="AG389" s="157">
        <f>COUNTA(Last:end!M389)</f>
        <v>2</v>
      </c>
      <c r="AH389" s="520">
        <f>COUNTA(Last:end!M389)/6</f>
        <v>0.33333333333333331</v>
      </c>
      <c r="AI389" s="157">
        <f>SUM(Last:end!O389)</f>
        <v>0</v>
      </c>
      <c r="AJ389" s="157">
        <f>MIN(Last:end!L389)</f>
        <v>2023</v>
      </c>
      <c r="AK389" s="157" t="e">
        <f>IF(AND(AJ389&lt;=2023,#REF!="high interest / inadequate offer "),"yes","no")</f>
        <v>#REF!</v>
      </c>
      <c r="AL389" s="157" t="str">
        <f>IF(AD389&gt;1,"yes", "no")</f>
        <v>no</v>
      </c>
      <c r="AM389" s="157"/>
      <c r="AN389" s="157"/>
      <c r="AO389" s="157"/>
      <c r="AP389" s="157">
        <v>1</v>
      </c>
    </row>
    <row r="390" spans="1:209" ht="62.25" customHeight="1">
      <c r="A390" s="8" t="s">
        <v>24</v>
      </c>
      <c r="B390" s="31" t="s">
        <v>195</v>
      </c>
      <c r="C390" s="18" t="s">
        <v>1076</v>
      </c>
      <c r="D390" s="18" t="s">
        <v>1085</v>
      </c>
      <c r="E390" s="18" t="s">
        <v>1086</v>
      </c>
      <c r="F390" s="8"/>
      <c r="G390" s="24" t="s">
        <v>62</v>
      </c>
      <c r="H390" s="24"/>
      <c r="I390" s="24"/>
      <c r="J390" s="20"/>
      <c r="K390" s="20"/>
      <c r="L390" s="20"/>
      <c r="M390" s="20"/>
      <c r="N390" s="20"/>
      <c r="O390" s="20"/>
      <c r="P390" s="8"/>
      <c r="Q390" s="157"/>
      <c r="R390" s="20"/>
      <c r="S390" s="20"/>
      <c r="T390" s="20"/>
      <c r="U390" s="20"/>
      <c r="V390" s="20"/>
      <c r="W390" s="20"/>
      <c r="X390" s="20"/>
      <c r="Y390" s="20"/>
      <c r="Z390" s="20"/>
      <c r="AA390" s="20"/>
      <c r="AB390" s="20"/>
      <c r="AC390" s="65"/>
      <c r="AD390" s="65"/>
      <c r="AE390" s="65"/>
      <c r="AF390" s="65"/>
      <c r="AG390" s="20"/>
      <c r="AH390" s="22"/>
      <c r="AI390" s="65"/>
      <c r="AJ390" s="20"/>
      <c r="AK390" s="20"/>
      <c r="AL390" s="20"/>
      <c r="AM390" s="20"/>
      <c r="AN390" s="20"/>
      <c r="AO390" s="20"/>
      <c r="AP390" s="20">
        <v>0</v>
      </c>
    </row>
    <row r="391" spans="1:209" ht="62.25"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8"/>
      <c r="Q391" s="157"/>
      <c r="R391" s="8"/>
      <c r="S391" s="8"/>
      <c r="T391" s="8"/>
      <c r="U391" s="8"/>
      <c r="V391" s="8"/>
      <c r="W391" s="8"/>
      <c r="X391" s="8"/>
      <c r="Y391" s="8"/>
      <c r="Z391" s="8"/>
      <c r="AA391" s="8"/>
      <c r="AB391" s="8"/>
      <c r="AC391" s="314" t="str">
        <f t="shared" ref="AC391:AC399" si="101">IF(AD391&gt;0,"yes", "no")</f>
        <v>no</v>
      </c>
      <c r="AD391" s="314">
        <f>COUNTA(first:Last!R391)</f>
        <v>0</v>
      </c>
      <c r="AE391" s="157">
        <f>SUM(first:Last!Z391)</f>
        <v>0</v>
      </c>
      <c r="AF391" s="157" t="str">
        <f t="shared" ref="AF391:AF399" si="102">IF(AH391&gt;0,"yes", "no")</f>
        <v>yes</v>
      </c>
      <c r="AG391" s="157">
        <f>COUNTA(Last:end!M391)</f>
        <v>3</v>
      </c>
      <c r="AH391" s="520">
        <f>COUNTA(Last:end!M391)/6</f>
        <v>0.5</v>
      </c>
      <c r="AI391" s="157">
        <f>SUM(Last:end!O391)</f>
        <v>0</v>
      </c>
      <c r="AJ391" s="157">
        <f>MIN(Last:end!L391)</f>
        <v>2023</v>
      </c>
      <c r="AK391" s="157" t="e">
        <f>IF(AND(AJ391&lt;=2023,#REF!="high interest / inadequate offer "),"yes","no")</f>
        <v>#REF!</v>
      </c>
      <c r="AL391" s="157" t="str">
        <f t="shared" ref="AL391:AL399" si="103">IF(AD391&gt;1,"yes", "no")</f>
        <v>no</v>
      </c>
      <c r="AM391" s="157"/>
      <c r="AN391" s="157"/>
      <c r="AO391" s="157"/>
      <c r="AP391" s="157">
        <v>1</v>
      </c>
    </row>
    <row r="392" spans="1:209" ht="62.25" customHeight="1">
      <c r="A392" s="8" t="s">
        <v>24</v>
      </c>
      <c r="B392" s="31" t="s">
        <v>195</v>
      </c>
      <c r="C392" s="18" t="s">
        <v>1076</v>
      </c>
      <c r="D392" s="18" t="s">
        <v>1091</v>
      </c>
      <c r="E392" s="69" t="s">
        <v>1092</v>
      </c>
      <c r="F392" s="8"/>
      <c r="G392" s="18" t="s">
        <v>62</v>
      </c>
      <c r="H392" s="18" t="s">
        <v>1089</v>
      </c>
      <c r="I392" s="18" t="s">
        <v>1090</v>
      </c>
      <c r="J392" s="8"/>
      <c r="K392" s="8"/>
      <c r="L392" s="8"/>
      <c r="M392" s="8"/>
      <c r="N392" s="8"/>
      <c r="O392" s="8"/>
      <c r="P392" s="8"/>
      <c r="Q392" s="157"/>
      <c r="R392" s="8"/>
      <c r="S392" s="8"/>
      <c r="T392" s="8"/>
      <c r="U392" s="8"/>
      <c r="V392" s="8"/>
      <c r="W392" s="8"/>
      <c r="X392" s="8"/>
      <c r="Y392" s="8"/>
      <c r="Z392" s="8"/>
      <c r="AA392" s="8"/>
      <c r="AB392" s="8"/>
      <c r="AC392" s="314" t="str">
        <f t="shared" si="101"/>
        <v>no</v>
      </c>
      <c r="AD392" s="314">
        <f>COUNTA(first:Last!R392)</f>
        <v>0</v>
      </c>
      <c r="AE392" s="157">
        <f>SUM(first:Last!Z392)</f>
        <v>0</v>
      </c>
      <c r="AF392" s="157" t="str">
        <f t="shared" si="102"/>
        <v>yes</v>
      </c>
      <c r="AG392" s="157">
        <f>COUNTA(Last:end!M392)</f>
        <v>1</v>
      </c>
      <c r="AH392" s="520">
        <f>COUNTA(Last:end!M392)/6</f>
        <v>0.16666666666666666</v>
      </c>
      <c r="AI392" s="157">
        <f>SUM(Last:end!O392)</f>
        <v>0</v>
      </c>
      <c r="AJ392" s="157">
        <f>MIN(Last:end!L392)</f>
        <v>2023</v>
      </c>
      <c r="AK392" s="157" t="e">
        <f>IF(AND(AJ392&lt;=2023,#REF!="high interest / inadequate offer "),"yes","no")</f>
        <v>#REF!</v>
      </c>
      <c r="AL392" s="157" t="str">
        <f t="shared" si="103"/>
        <v>no</v>
      </c>
      <c r="AM392" s="157"/>
      <c r="AN392" s="157"/>
      <c r="AO392" s="157"/>
      <c r="AP392" s="157">
        <v>1</v>
      </c>
    </row>
    <row r="393" spans="1:209" ht="62.25" customHeight="1">
      <c r="A393" s="8" t="s">
        <v>24</v>
      </c>
      <c r="B393" s="31" t="s">
        <v>195</v>
      </c>
      <c r="C393" s="18" t="s">
        <v>1076</v>
      </c>
      <c r="D393" s="18" t="s">
        <v>1093</v>
      </c>
      <c r="E393" s="69" t="s">
        <v>1094</v>
      </c>
      <c r="F393" s="8"/>
      <c r="G393" s="18" t="s">
        <v>62</v>
      </c>
      <c r="H393" s="18" t="s">
        <v>1095</v>
      </c>
      <c r="I393" s="18" t="s">
        <v>1096</v>
      </c>
      <c r="J393" s="8"/>
      <c r="K393" s="8"/>
      <c r="L393" s="8"/>
      <c r="M393" s="8"/>
      <c r="N393" s="8"/>
      <c r="O393" s="8"/>
      <c r="P393" s="8"/>
      <c r="Q393" s="157"/>
      <c r="R393" s="8"/>
      <c r="S393" s="8"/>
      <c r="T393" s="8"/>
      <c r="U393" s="8"/>
      <c r="V393" s="8"/>
      <c r="W393" s="8"/>
      <c r="X393" s="8"/>
      <c r="Y393" s="8"/>
      <c r="Z393" s="8"/>
      <c r="AA393" s="8"/>
      <c r="AB393" s="8"/>
      <c r="AC393" s="314" t="str">
        <f t="shared" si="101"/>
        <v>no</v>
      </c>
      <c r="AD393" s="314">
        <f>COUNTA(first:Last!R393)</f>
        <v>0</v>
      </c>
      <c r="AE393" s="157">
        <f>SUM(first:Last!Z393)</f>
        <v>0</v>
      </c>
      <c r="AF393" s="157" t="str">
        <f t="shared" si="102"/>
        <v>yes</v>
      </c>
      <c r="AG393" s="157">
        <f>COUNTA(Last:end!M393)</f>
        <v>1</v>
      </c>
      <c r="AH393" s="520">
        <f>COUNTA(Last:end!M393)/6</f>
        <v>0.16666666666666666</v>
      </c>
      <c r="AI393" s="157">
        <f>SUM(Last:end!O393)</f>
        <v>0</v>
      </c>
      <c r="AJ393" s="157">
        <f>MIN(Last:end!L393)</f>
        <v>2023</v>
      </c>
      <c r="AK393" s="157" t="e">
        <f>IF(AND(AJ393&lt;=2023,#REF!="high interest / inadequate offer "),"yes","no")</f>
        <v>#REF!</v>
      </c>
      <c r="AL393" s="157" t="str">
        <f t="shared" si="103"/>
        <v>no</v>
      </c>
      <c r="AM393" s="157"/>
      <c r="AN393" s="157"/>
      <c r="AO393" s="157"/>
      <c r="AP393" s="157">
        <v>1</v>
      </c>
    </row>
    <row r="394" spans="1:209" ht="62.25" customHeight="1">
      <c r="A394" s="8" t="s">
        <v>24</v>
      </c>
      <c r="B394" s="31" t="s">
        <v>195</v>
      </c>
      <c r="C394" s="18" t="s">
        <v>1076</v>
      </c>
      <c r="D394" s="18" t="s">
        <v>1097</v>
      </c>
      <c r="E394" s="69" t="s">
        <v>1098</v>
      </c>
      <c r="F394" s="8"/>
      <c r="G394" s="18" t="s">
        <v>62</v>
      </c>
      <c r="H394" s="18" t="s">
        <v>1099</v>
      </c>
      <c r="I394" s="23">
        <v>1</v>
      </c>
      <c r="J394" s="8"/>
      <c r="K394" s="8"/>
      <c r="L394" s="8"/>
      <c r="M394" s="8"/>
      <c r="N394" s="8"/>
      <c r="O394" s="8"/>
      <c r="P394" s="8"/>
      <c r="Q394" s="157"/>
      <c r="R394" s="8"/>
      <c r="S394" s="8"/>
      <c r="T394" s="8"/>
      <c r="U394" s="8"/>
      <c r="V394" s="8"/>
      <c r="W394" s="8"/>
      <c r="X394" s="8"/>
      <c r="Y394" s="8"/>
      <c r="Z394" s="8"/>
      <c r="AA394" s="8"/>
      <c r="AB394" s="8"/>
      <c r="AC394" s="314" t="str">
        <f t="shared" si="101"/>
        <v>no</v>
      </c>
      <c r="AD394" s="314">
        <f>COUNTA(first:Last!R394)</f>
        <v>0</v>
      </c>
      <c r="AE394" s="157">
        <f>SUM(first:Last!Z394)</f>
        <v>0</v>
      </c>
      <c r="AF394" s="157" t="str">
        <f t="shared" si="102"/>
        <v>yes</v>
      </c>
      <c r="AG394" s="157">
        <f>COUNTA(Last:end!M394)</f>
        <v>1</v>
      </c>
      <c r="AH394" s="520">
        <f>COUNTA(Last:end!M394)/6</f>
        <v>0.16666666666666666</v>
      </c>
      <c r="AI394" s="157">
        <f>SUM(Last:end!O394)</f>
        <v>0</v>
      </c>
      <c r="AJ394" s="157">
        <f>MIN(Last:end!L394)</f>
        <v>2023</v>
      </c>
      <c r="AK394" s="157" t="e">
        <f>IF(AND(AJ394&lt;=2023,#REF!="high interest / inadequate offer "),"yes","no")</f>
        <v>#REF!</v>
      </c>
      <c r="AL394" s="157" t="str">
        <f t="shared" si="103"/>
        <v>no</v>
      </c>
      <c r="AM394" s="157"/>
      <c r="AN394" s="157"/>
      <c r="AO394" s="157"/>
      <c r="AP394" s="157">
        <v>1</v>
      </c>
    </row>
    <row r="395" spans="1:209" ht="62.25" customHeight="1">
      <c r="A395" s="8" t="s">
        <v>24</v>
      </c>
      <c r="B395" s="31" t="s">
        <v>195</v>
      </c>
      <c r="C395" s="18" t="s">
        <v>1076</v>
      </c>
      <c r="D395" s="18" t="s">
        <v>1100</v>
      </c>
      <c r="E395" s="18" t="s">
        <v>1101</v>
      </c>
      <c r="F395" s="8"/>
      <c r="G395" s="18" t="s">
        <v>58</v>
      </c>
      <c r="H395" s="18" t="s">
        <v>1102</v>
      </c>
      <c r="I395" s="23">
        <v>0.7</v>
      </c>
      <c r="J395" s="8"/>
      <c r="K395" s="8"/>
      <c r="L395" s="8"/>
      <c r="M395" s="8"/>
      <c r="N395" s="8"/>
      <c r="O395" s="8"/>
      <c r="P395" s="8"/>
      <c r="Q395" s="157"/>
      <c r="R395" s="8"/>
      <c r="S395" s="8"/>
      <c r="T395" s="8"/>
      <c r="U395" s="8"/>
      <c r="V395" s="8"/>
      <c r="W395" s="8"/>
      <c r="X395" s="8"/>
      <c r="Y395" s="8"/>
      <c r="Z395" s="8"/>
      <c r="AA395" s="8"/>
      <c r="AB395" s="8"/>
      <c r="AC395" s="314" t="str">
        <f t="shared" si="101"/>
        <v>no</v>
      </c>
      <c r="AD395" s="314">
        <f>COUNTA(first:Last!R395)</f>
        <v>0</v>
      </c>
      <c r="AE395" s="157">
        <f>SUM(first:Last!Z395)</f>
        <v>0</v>
      </c>
      <c r="AF395" s="157" t="str">
        <f t="shared" si="102"/>
        <v>yes</v>
      </c>
      <c r="AG395" s="157">
        <f>COUNTA(Last:end!M395)</f>
        <v>2</v>
      </c>
      <c r="AH395" s="520">
        <f>COUNTA(Last:end!M395)/6</f>
        <v>0.33333333333333331</v>
      </c>
      <c r="AI395" s="157">
        <f>SUM(Last:end!O395)</f>
        <v>0</v>
      </c>
      <c r="AJ395" s="157">
        <f>MIN(Last:end!L395)</f>
        <v>2023</v>
      </c>
      <c r="AK395" s="157" t="e">
        <f>IF(AND(AJ395&lt;=2023,#REF!="high interest / inadequate offer "),"yes","no")</f>
        <v>#REF!</v>
      </c>
      <c r="AL395" s="157" t="str">
        <f t="shared" si="103"/>
        <v>no</v>
      </c>
      <c r="AM395" s="157"/>
      <c r="AN395" s="157"/>
      <c r="AO395" s="157"/>
      <c r="AP395" s="157">
        <v>1</v>
      </c>
    </row>
    <row r="396" spans="1:209" ht="62.25"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8"/>
      <c r="Q396" s="157"/>
      <c r="R396" s="8"/>
      <c r="S396" s="8"/>
      <c r="T396" s="8"/>
      <c r="U396" s="8"/>
      <c r="V396" s="8"/>
      <c r="W396" s="8"/>
      <c r="X396" s="8"/>
      <c r="Y396" s="8"/>
      <c r="Z396" s="8"/>
      <c r="AA396" s="8"/>
      <c r="AB396" s="8"/>
      <c r="AC396" s="314" t="str">
        <f t="shared" si="101"/>
        <v>no</v>
      </c>
      <c r="AD396" s="314">
        <f>COUNTA(first:Last!R396)</f>
        <v>0</v>
      </c>
      <c r="AE396" s="157">
        <f>SUM(first:Last!Z396)</f>
        <v>0</v>
      </c>
      <c r="AF396" s="157" t="str">
        <f t="shared" si="102"/>
        <v>yes</v>
      </c>
      <c r="AG396" s="157">
        <f>COUNTA(Last:end!M396)</f>
        <v>2</v>
      </c>
      <c r="AH396" s="520">
        <f>COUNTA(Last:end!M396)/6</f>
        <v>0.33333333333333331</v>
      </c>
      <c r="AI396" s="157">
        <f>SUM(Last:end!O396)</f>
        <v>0</v>
      </c>
      <c r="AJ396" s="157">
        <f>MIN(Last:end!L396)</f>
        <v>2023</v>
      </c>
      <c r="AK396" s="157" t="e">
        <f>IF(AND(AJ396&lt;=2023,#REF!="high interest / inadequate offer "),"yes","no")</f>
        <v>#REF!</v>
      </c>
      <c r="AL396" s="157" t="str">
        <f t="shared" si="103"/>
        <v>no</v>
      </c>
      <c r="AM396" s="157"/>
      <c r="AN396" s="157"/>
      <c r="AO396" s="157"/>
      <c r="AP396" s="157">
        <v>1</v>
      </c>
    </row>
    <row r="397" spans="1:209" ht="62.25"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8"/>
      <c r="Q397" s="157"/>
      <c r="R397" s="8"/>
      <c r="S397" s="8"/>
      <c r="T397" s="8"/>
      <c r="U397" s="8"/>
      <c r="V397" s="8"/>
      <c r="W397" s="8"/>
      <c r="X397" s="8"/>
      <c r="Y397" s="8"/>
      <c r="Z397" s="8"/>
      <c r="AA397" s="8"/>
      <c r="AB397" s="8"/>
      <c r="AC397" s="314" t="str">
        <f t="shared" si="101"/>
        <v>no</v>
      </c>
      <c r="AD397" s="314">
        <f>COUNTA(first:Last!R397)</f>
        <v>0</v>
      </c>
      <c r="AE397" s="157">
        <f>SUM(first:Last!Z397)</f>
        <v>0</v>
      </c>
      <c r="AF397" s="157" t="str">
        <f t="shared" si="102"/>
        <v>yes</v>
      </c>
      <c r="AG397" s="157">
        <f>COUNTA(Last:end!M397)</f>
        <v>1</v>
      </c>
      <c r="AH397" s="520">
        <f>COUNTA(Last:end!M397)/6</f>
        <v>0.16666666666666666</v>
      </c>
      <c r="AI397" s="157">
        <f>SUM(Last:end!O397)</f>
        <v>0</v>
      </c>
      <c r="AJ397" s="157">
        <f>MIN(Last:end!L397)</f>
        <v>2023</v>
      </c>
      <c r="AK397" s="157" t="e">
        <f>IF(AND(AJ397&lt;=2023,#REF!="high interest / inadequate offer "),"yes","no")</f>
        <v>#REF!</v>
      </c>
      <c r="AL397" s="157" t="str">
        <f t="shared" si="103"/>
        <v>no</v>
      </c>
      <c r="AM397" s="157"/>
      <c r="AN397" s="157"/>
      <c r="AO397" s="157"/>
      <c r="AP397" s="157">
        <v>1</v>
      </c>
    </row>
    <row r="398" spans="1:209" ht="62.25"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8"/>
      <c r="Q398" s="157"/>
      <c r="R398" s="8"/>
      <c r="S398" s="8"/>
      <c r="T398" s="8"/>
      <c r="U398" s="8"/>
      <c r="V398" s="8"/>
      <c r="W398" s="8"/>
      <c r="X398" s="8"/>
      <c r="Y398" s="8"/>
      <c r="Z398" s="8"/>
      <c r="AA398" s="8"/>
      <c r="AB398" s="8"/>
      <c r="AC398" s="314" t="str">
        <f t="shared" si="101"/>
        <v>no</v>
      </c>
      <c r="AD398" s="314">
        <f>COUNTA(first:Last!R398)</f>
        <v>0</v>
      </c>
      <c r="AE398" s="157">
        <f>SUM(first:Last!Z398)</f>
        <v>0</v>
      </c>
      <c r="AF398" s="157" t="str">
        <f t="shared" si="102"/>
        <v>no</v>
      </c>
      <c r="AG398" s="157">
        <f>COUNTA(Last:end!M398)</f>
        <v>0</v>
      </c>
      <c r="AH398" s="520">
        <f>COUNTA(Last:end!M398)/6</f>
        <v>0</v>
      </c>
      <c r="AI398" s="157">
        <f>SUM(Last:end!O398)</f>
        <v>0</v>
      </c>
      <c r="AJ398" s="157">
        <f>MIN(Last:end!L398)</f>
        <v>0</v>
      </c>
      <c r="AK398" s="157" t="e">
        <f>IF(AND(AJ398&lt;=2023,#REF!="high interest / inadequate offer "),"yes","no")</f>
        <v>#REF!</v>
      </c>
      <c r="AL398" s="157" t="str">
        <f t="shared" si="103"/>
        <v>no</v>
      </c>
      <c r="AM398" s="157"/>
      <c r="AN398" s="157"/>
      <c r="AO398" s="157"/>
      <c r="AP398" s="157">
        <v>1</v>
      </c>
    </row>
    <row r="399" spans="1:209" ht="62.25"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8"/>
      <c r="Q399" s="157"/>
      <c r="R399" s="8"/>
      <c r="S399" s="8"/>
      <c r="T399" s="8"/>
      <c r="U399" s="8"/>
      <c r="V399" s="8"/>
      <c r="W399" s="8"/>
      <c r="X399" s="8"/>
      <c r="Y399" s="8"/>
      <c r="Z399" s="8"/>
      <c r="AA399" s="8"/>
      <c r="AB399" s="8"/>
      <c r="AC399" s="314" t="str">
        <f t="shared" si="101"/>
        <v>no</v>
      </c>
      <c r="AD399" s="314">
        <f>COUNTA(first:Last!R399)</f>
        <v>0</v>
      </c>
      <c r="AE399" s="157">
        <f>SUM(first:Last!Z399)</f>
        <v>0</v>
      </c>
      <c r="AF399" s="157" t="str">
        <f t="shared" si="102"/>
        <v>yes</v>
      </c>
      <c r="AG399" s="157">
        <f>COUNTA(Last:end!M399)</f>
        <v>1</v>
      </c>
      <c r="AH399" s="520">
        <f>COUNTA(Last:end!M399)/6</f>
        <v>0.16666666666666666</v>
      </c>
      <c r="AI399" s="157">
        <f>SUM(Last:end!O399)</f>
        <v>0</v>
      </c>
      <c r="AJ399" s="157">
        <f>MIN(Last:end!L399)</f>
        <v>2024</v>
      </c>
      <c r="AK399" s="157" t="e">
        <f>IF(AND(AJ399&lt;=2023,#REF!="high interest / inadequate offer "),"yes","no")</f>
        <v>#REF!</v>
      </c>
      <c r="AL399" s="157" t="str">
        <f t="shared" si="103"/>
        <v>no</v>
      </c>
      <c r="AM399" s="157"/>
      <c r="AN399" s="157"/>
      <c r="AO399" s="157"/>
      <c r="AP399" s="157">
        <v>1</v>
      </c>
    </row>
    <row r="400" spans="1:209" s="5" customFormat="1" ht="47.25">
      <c r="A400" s="20" t="s">
        <v>24</v>
      </c>
      <c r="B400" s="32" t="s">
        <v>274</v>
      </c>
      <c r="C400" s="24" t="s">
        <v>1118</v>
      </c>
      <c r="D400" s="19" t="s">
        <v>582</v>
      </c>
      <c r="E400" s="24" t="s">
        <v>582</v>
      </c>
      <c r="F400" s="24" t="s">
        <v>582</v>
      </c>
      <c r="G400" s="19" t="s">
        <v>582</v>
      </c>
      <c r="H400" s="19" t="s">
        <v>582</v>
      </c>
      <c r="I400" s="19" t="s">
        <v>582</v>
      </c>
      <c r="J400" s="19" t="s">
        <v>582</v>
      </c>
      <c r="K400" s="19" t="s">
        <v>582</v>
      </c>
      <c r="L400" s="19" t="s">
        <v>582</v>
      </c>
      <c r="M400" s="19" t="s">
        <v>582</v>
      </c>
      <c r="N400" s="19" t="s">
        <v>582</v>
      </c>
      <c r="O400" s="19" t="s">
        <v>582</v>
      </c>
      <c r="P400" s="19" t="s">
        <v>582</v>
      </c>
      <c r="Q400" s="549"/>
      <c r="R400" s="19" t="s">
        <v>582</v>
      </c>
      <c r="S400" s="19" t="s">
        <v>582</v>
      </c>
      <c r="T400" s="19" t="s">
        <v>582</v>
      </c>
      <c r="U400" s="19"/>
      <c r="V400" s="19" t="s">
        <v>582</v>
      </c>
      <c r="W400" s="19" t="s">
        <v>582</v>
      </c>
      <c r="X400" s="19" t="s">
        <v>582</v>
      </c>
      <c r="Y400" s="19" t="s">
        <v>582</v>
      </c>
      <c r="Z400" s="19" t="s">
        <v>582</v>
      </c>
      <c r="AA400" s="19" t="s">
        <v>582</v>
      </c>
      <c r="AB400" s="19"/>
      <c r="AC400" s="20"/>
      <c r="AD400" s="20"/>
      <c r="AE400" s="20"/>
      <c r="AF400" s="20"/>
      <c r="AG400" s="20"/>
      <c r="AH400" s="20"/>
      <c r="AI400" s="20"/>
      <c r="AJ400" s="20"/>
      <c r="AK400" s="20"/>
      <c r="AL400" s="20"/>
      <c r="AM400" s="20"/>
      <c r="AN400" s="20"/>
      <c r="AO400" s="20"/>
      <c r="AP400" s="20">
        <v>0</v>
      </c>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row>
    <row r="401" spans="1:209" s="5" customFormat="1" ht="78.75">
      <c r="A401" s="20" t="s">
        <v>24</v>
      </c>
      <c r="B401" s="32" t="s">
        <v>274</v>
      </c>
      <c r="C401" s="24" t="s">
        <v>1119</v>
      </c>
      <c r="D401" s="19" t="s">
        <v>582</v>
      </c>
      <c r="E401" s="24" t="s">
        <v>582</v>
      </c>
      <c r="F401" s="24" t="s">
        <v>582</v>
      </c>
      <c r="G401" s="19" t="s">
        <v>582</v>
      </c>
      <c r="H401" s="19" t="s">
        <v>582</v>
      </c>
      <c r="I401" s="19" t="s">
        <v>582</v>
      </c>
      <c r="J401" s="19" t="s">
        <v>582</v>
      </c>
      <c r="K401" s="19" t="s">
        <v>582</v>
      </c>
      <c r="L401" s="19" t="s">
        <v>582</v>
      </c>
      <c r="M401" s="19" t="s">
        <v>582</v>
      </c>
      <c r="N401" s="19" t="s">
        <v>582</v>
      </c>
      <c r="O401" s="19" t="s">
        <v>582</v>
      </c>
      <c r="P401" s="19" t="s">
        <v>582</v>
      </c>
      <c r="Q401" s="549"/>
      <c r="R401" s="19" t="s">
        <v>582</v>
      </c>
      <c r="S401" s="19" t="s">
        <v>582</v>
      </c>
      <c r="T401" s="19" t="s">
        <v>582</v>
      </c>
      <c r="U401" s="19"/>
      <c r="V401" s="19" t="s">
        <v>582</v>
      </c>
      <c r="W401" s="19" t="s">
        <v>582</v>
      </c>
      <c r="X401" s="19" t="s">
        <v>582</v>
      </c>
      <c r="Y401" s="19" t="s">
        <v>582</v>
      </c>
      <c r="Z401" s="19" t="s">
        <v>582</v>
      </c>
      <c r="AA401" s="19" t="s">
        <v>582</v>
      </c>
      <c r="AB401" s="19"/>
      <c r="AC401" s="20"/>
      <c r="AD401" s="20"/>
      <c r="AE401" s="20"/>
      <c r="AF401" s="20"/>
      <c r="AG401" s="20"/>
      <c r="AH401" s="20"/>
      <c r="AI401" s="20"/>
      <c r="AJ401" s="20"/>
      <c r="AK401" s="20"/>
      <c r="AL401" s="20"/>
      <c r="AM401" s="20"/>
      <c r="AN401" s="20"/>
      <c r="AO401" s="20"/>
      <c r="AP401" s="20">
        <v>0</v>
      </c>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row>
    <row r="402" spans="1:209" s="5" customFormat="1" ht="47.25">
      <c r="A402" s="20" t="s">
        <v>24</v>
      </c>
      <c r="B402" s="32" t="s">
        <v>274</v>
      </c>
      <c r="C402" s="24" t="s">
        <v>1120</v>
      </c>
      <c r="D402" s="19" t="s">
        <v>582</v>
      </c>
      <c r="E402" s="24" t="s">
        <v>582</v>
      </c>
      <c r="F402" s="24" t="s">
        <v>582</v>
      </c>
      <c r="G402" s="19" t="s">
        <v>582</v>
      </c>
      <c r="H402" s="19" t="s">
        <v>582</v>
      </c>
      <c r="I402" s="19" t="s">
        <v>582</v>
      </c>
      <c r="J402" s="19" t="s">
        <v>582</v>
      </c>
      <c r="K402" s="19" t="s">
        <v>582</v>
      </c>
      <c r="L402" s="19" t="s">
        <v>582</v>
      </c>
      <c r="M402" s="19" t="s">
        <v>582</v>
      </c>
      <c r="N402" s="19" t="s">
        <v>582</v>
      </c>
      <c r="O402" s="19" t="s">
        <v>582</v>
      </c>
      <c r="P402" s="19" t="s">
        <v>582</v>
      </c>
      <c r="Q402" s="549"/>
      <c r="R402" s="19" t="s">
        <v>582</v>
      </c>
      <c r="S402" s="19" t="s">
        <v>582</v>
      </c>
      <c r="T402" s="19" t="s">
        <v>582</v>
      </c>
      <c r="U402" s="19"/>
      <c r="V402" s="19" t="s">
        <v>582</v>
      </c>
      <c r="W402" s="19" t="s">
        <v>582</v>
      </c>
      <c r="X402" s="19" t="s">
        <v>582</v>
      </c>
      <c r="Y402" s="19" t="s">
        <v>582</v>
      </c>
      <c r="Z402" s="19" t="s">
        <v>582</v>
      </c>
      <c r="AA402" s="19" t="s">
        <v>582</v>
      </c>
      <c r="AB402" s="19"/>
      <c r="AC402" s="20"/>
      <c r="AD402" s="20"/>
      <c r="AE402" s="20"/>
      <c r="AF402" s="20"/>
      <c r="AG402" s="20"/>
      <c r="AH402" s="20"/>
      <c r="AI402" s="20"/>
      <c r="AJ402" s="20"/>
      <c r="AK402" s="20"/>
      <c r="AL402" s="20"/>
      <c r="AM402" s="20"/>
      <c r="AN402" s="20"/>
      <c r="AO402" s="20"/>
      <c r="AP402" s="20">
        <v>0</v>
      </c>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row>
    <row r="403" spans="1:209" ht="62.25"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8"/>
      <c r="Q403" s="157"/>
      <c r="R403" s="8"/>
      <c r="S403" s="8"/>
      <c r="T403" s="8"/>
      <c r="U403" s="8"/>
      <c r="V403" s="8"/>
      <c r="W403" s="8"/>
      <c r="X403" s="8"/>
      <c r="Y403" s="8"/>
      <c r="Z403" s="8"/>
      <c r="AA403" s="8"/>
      <c r="AB403" s="8"/>
      <c r="AC403" s="314" t="str">
        <f t="shared" ref="AC403:AC404" si="104">IF(AD403&gt;0,"yes", "no")</f>
        <v>no</v>
      </c>
      <c r="AD403" s="314">
        <f>COUNTA(first:Last!R403)</f>
        <v>0</v>
      </c>
      <c r="AE403" s="157">
        <f>SUM(first:Last!Z403)</f>
        <v>0</v>
      </c>
      <c r="AF403" s="157" t="str">
        <f t="shared" ref="AF403:AF404" si="105">IF(AH403&gt;0,"yes", "no")</f>
        <v>no</v>
      </c>
      <c r="AG403" s="157">
        <f>COUNTA(Last:end!M403)</f>
        <v>0</v>
      </c>
      <c r="AH403" s="520">
        <f>COUNTA(Last:end!M403)/6</f>
        <v>0</v>
      </c>
      <c r="AI403" s="157">
        <f>SUM(Last:end!O403)</f>
        <v>0</v>
      </c>
      <c r="AJ403" s="157">
        <f>MIN(Last:end!L403)</f>
        <v>2024</v>
      </c>
      <c r="AK403" s="157" t="e">
        <f>IF(AND(AJ403&lt;=2023,#REF!="high interest / inadequate offer "),"yes","no")</f>
        <v>#REF!</v>
      </c>
      <c r="AL403" s="157" t="str">
        <f>IF(AD403&gt;1,"yes", "no")</f>
        <v>no</v>
      </c>
      <c r="AM403" s="157"/>
      <c r="AN403" s="157"/>
      <c r="AO403" s="157"/>
      <c r="AP403" s="157">
        <v>1</v>
      </c>
    </row>
    <row r="404" spans="1:209" ht="62.25"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8"/>
      <c r="Q404" s="157"/>
      <c r="R404" s="8"/>
      <c r="S404" s="8"/>
      <c r="T404" s="8"/>
      <c r="U404" s="8"/>
      <c r="V404" s="8"/>
      <c r="W404" s="8"/>
      <c r="X404" s="8"/>
      <c r="Y404" s="8"/>
      <c r="Z404" s="8"/>
      <c r="AA404" s="8"/>
      <c r="AB404" s="8"/>
      <c r="AC404" s="314" t="str">
        <f t="shared" si="104"/>
        <v>yes</v>
      </c>
      <c r="AD404" s="314">
        <f>COUNTA(first:Last!R404)</f>
        <v>1</v>
      </c>
      <c r="AE404" s="157">
        <f>SUM(first:Last!Z404)</f>
        <v>0</v>
      </c>
      <c r="AF404" s="157" t="str">
        <f t="shared" si="105"/>
        <v>yes</v>
      </c>
      <c r="AG404" s="157">
        <f>COUNTA(Last:end!M404)</f>
        <v>1</v>
      </c>
      <c r="AH404" s="520">
        <f>COUNTA(Last:end!M404)/6</f>
        <v>0.16666666666666666</v>
      </c>
      <c r="AI404" s="157">
        <f>SUM(Last:end!O404)</f>
        <v>0</v>
      </c>
      <c r="AJ404" s="157">
        <f>MIN(Last:end!L404)</f>
        <v>0</v>
      </c>
      <c r="AK404" s="157" t="e">
        <f>IF(AND(AJ404&lt;=2023,#REF!="high interest / inadequate offer "),"yes","no")</f>
        <v>#REF!</v>
      </c>
      <c r="AL404" s="157" t="str">
        <f>IF(AD404&gt;1,"yes", "no")</f>
        <v>no</v>
      </c>
      <c r="AM404" s="157"/>
      <c r="AN404" s="157"/>
      <c r="AO404" s="157"/>
      <c r="AP404" s="157">
        <v>1</v>
      </c>
    </row>
    <row r="405" spans="1:209" ht="62.25" customHeight="1">
      <c r="A405" s="8" t="s">
        <v>24</v>
      </c>
      <c r="B405" s="31" t="s">
        <v>587</v>
      </c>
      <c r="C405" s="18" t="s">
        <v>1128</v>
      </c>
      <c r="D405" s="18" t="s">
        <v>1129</v>
      </c>
      <c r="E405" s="18" t="s">
        <v>1130</v>
      </c>
      <c r="F405" s="8"/>
      <c r="G405" s="24" t="s">
        <v>62</v>
      </c>
      <c r="H405" s="24" t="s">
        <v>591</v>
      </c>
      <c r="I405" s="25">
        <v>1</v>
      </c>
      <c r="J405" s="20"/>
      <c r="K405" s="20"/>
      <c r="L405" s="20"/>
      <c r="M405" s="20"/>
      <c r="N405" s="20"/>
      <c r="O405" s="20"/>
      <c r="P405" s="8"/>
      <c r="Q405" s="157"/>
      <c r="R405" s="20"/>
      <c r="S405" s="20"/>
      <c r="T405" s="20"/>
      <c r="U405" s="20"/>
      <c r="V405" s="20"/>
      <c r="W405" s="20"/>
      <c r="X405" s="20"/>
      <c r="Y405" s="20"/>
      <c r="Z405" s="20"/>
      <c r="AA405" s="20"/>
      <c r="AB405" s="20"/>
      <c r="AC405" s="65"/>
      <c r="AD405" s="65"/>
      <c r="AE405" s="65"/>
      <c r="AF405" s="65"/>
      <c r="AG405" s="65"/>
      <c r="AH405" s="65"/>
      <c r="AI405" s="65"/>
      <c r="AJ405" s="65"/>
      <c r="AK405" s="65"/>
      <c r="AL405" s="65"/>
      <c r="AM405" s="65"/>
      <c r="AN405" s="65"/>
      <c r="AO405" s="65"/>
      <c r="AP405" s="20">
        <v>0</v>
      </c>
    </row>
    <row r="406" spans="1:209" ht="62.25" customHeight="1">
      <c r="A406" s="8" t="s">
        <v>24</v>
      </c>
      <c r="B406" s="31" t="s">
        <v>587</v>
      </c>
      <c r="C406" s="18" t="s">
        <v>1128</v>
      </c>
      <c r="D406" s="18" t="s">
        <v>1131</v>
      </c>
      <c r="E406" s="69" t="s">
        <v>1132</v>
      </c>
      <c r="F406" s="8"/>
      <c r="G406" s="18" t="s">
        <v>62</v>
      </c>
      <c r="H406" s="18" t="s">
        <v>591</v>
      </c>
      <c r="I406" s="23">
        <v>1</v>
      </c>
      <c r="J406" s="8"/>
      <c r="K406" s="8"/>
      <c r="L406" s="8"/>
      <c r="M406" s="8"/>
      <c r="N406" s="8"/>
      <c r="O406" s="8"/>
      <c r="P406" s="8"/>
      <c r="Q406" s="157"/>
      <c r="R406" s="8"/>
      <c r="S406" s="8"/>
      <c r="T406" s="8"/>
      <c r="U406" s="8"/>
      <c r="V406" s="8"/>
      <c r="W406" s="8"/>
      <c r="X406" s="8"/>
      <c r="Y406" s="8"/>
      <c r="Z406" s="8"/>
      <c r="AA406" s="8"/>
      <c r="AB406" s="8"/>
      <c r="AC406" s="314" t="str">
        <f t="shared" ref="AC406:AC413" si="106">IF(AD406&gt;0,"yes", "no")</f>
        <v>no</v>
      </c>
      <c r="AD406" s="314">
        <f>COUNTA(first:Last!R406)</f>
        <v>0</v>
      </c>
      <c r="AE406" s="157">
        <f>SUM(first:Last!Z406)</f>
        <v>0</v>
      </c>
      <c r="AF406" s="157" t="str">
        <f t="shared" ref="AF406:AF413" si="107">IF(AH406&gt;0,"yes", "no")</f>
        <v>yes</v>
      </c>
      <c r="AG406" s="157">
        <f>COUNTA(Last:end!M406)</f>
        <v>1</v>
      </c>
      <c r="AH406" s="520">
        <f>COUNTA(Last:end!M406)/6</f>
        <v>0.16666666666666666</v>
      </c>
      <c r="AI406" s="157">
        <f>SUM(Last:end!O406)</f>
        <v>0</v>
      </c>
      <c r="AJ406" s="157">
        <f>MIN(Last:end!L406)</f>
        <v>2023</v>
      </c>
      <c r="AK406" s="157" t="e">
        <f>IF(AND(AJ406&lt;=2023,#REF!="high interest / inadequate offer "),"yes","no")</f>
        <v>#REF!</v>
      </c>
      <c r="AL406" s="157" t="str">
        <f t="shared" ref="AL406:AL413" si="108">IF(AD406&gt;1,"yes", "no")</f>
        <v>no</v>
      </c>
      <c r="AM406" s="157"/>
      <c r="AN406" s="157"/>
      <c r="AO406" s="157"/>
      <c r="AP406" s="157">
        <v>1</v>
      </c>
    </row>
    <row r="407" spans="1:209" ht="62.25" customHeight="1">
      <c r="A407" s="8" t="s">
        <v>24</v>
      </c>
      <c r="B407" s="31" t="s">
        <v>587</v>
      </c>
      <c r="C407" s="18" t="s">
        <v>1128</v>
      </c>
      <c r="D407" s="18" t="s">
        <v>1133</v>
      </c>
      <c r="E407" s="69" t="s">
        <v>1134</v>
      </c>
      <c r="F407" s="8"/>
      <c r="G407" s="18" t="s">
        <v>62</v>
      </c>
      <c r="H407" s="18" t="s">
        <v>591</v>
      </c>
      <c r="I407" s="23">
        <v>2</v>
      </c>
      <c r="J407" s="8"/>
      <c r="K407" s="8"/>
      <c r="L407" s="8"/>
      <c r="M407" s="8"/>
      <c r="N407" s="8"/>
      <c r="O407" s="8"/>
      <c r="P407" s="8"/>
      <c r="Q407" s="157"/>
      <c r="R407" s="8"/>
      <c r="S407" s="8"/>
      <c r="T407" s="8"/>
      <c r="U407" s="8"/>
      <c r="V407" s="8"/>
      <c r="W407" s="8"/>
      <c r="X407" s="8"/>
      <c r="Y407" s="8"/>
      <c r="Z407" s="8"/>
      <c r="AA407" s="8"/>
      <c r="AB407" s="8"/>
      <c r="AC407" s="314" t="str">
        <f t="shared" si="106"/>
        <v>no</v>
      </c>
      <c r="AD407" s="314">
        <f>COUNTA(first:Last!R407)</f>
        <v>0</v>
      </c>
      <c r="AE407" s="157">
        <f>SUM(first:Last!Z407)</f>
        <v>0</v>
      </c>
      <c r="AF407" s="157" t="str">
        <f t="shared" si="107"/>
        <v>yes</v>
      </c>
      <c r="AG407" s="157">
        <f>COUNTA(Last:end!M407)</f>
        <v>2</v>
      </c>
      <c r="AH407" s="520">
        <f>COUNTA(Last:end!M407)/6</f>
        <v>0.33333333333333331</v>
      </c>
      <c r="AI407" s="157">
        <f>SUM(Last:end!O407)</f>
        <v>0</v>
      </c>
      <c r="AJ407" s="157">
        <f>MIN(Last:end!L407)</f>
        <v>2023</v>
      </c>
      <c r="AK407" s="157" t="e">
        <f>IF(AND(AJ407&lt;=2023,#REF!="high interest / inadequate offer "),"yes","no")</f>
        <v>#REF!</v>
      </c>
      <c r="AL407" s="157" t="str">
        <f t="shared" si="108"/>
        <v>no</v>
      </c>
      <c r="AM407" s="157"/>
      <c r="AN407" s="157"/>
      <c r="AO407" s="157"/>
      <c r="AP407" s="157">
        <v>1</v>
      </c>
    </row>
    <row r="408" spans="1:209" ht="62.25" customHeight="1">
      <c r="A408" s="8" t="s">
        <v>24</v>
      </c>
      <c r="B408" s="31" t="s">
        <v>587</v>
      </c>
      <c r="C408" s="18" t="s">
        <v>1128</v>
      </c>
      <c r="D408" s="18" t="s">
        <v>1135</v>
      </c>
      <c r="E408" s="69" t="s">
        <v>1136</v>
      </c>
      <c r="F408" s="8"/>
      <c r="G408" s="18" t="s">
        <v>62</v>
      </c>
      <c r="H408" s="18" t="s">
        <v>591</v>
      </c>
      <c r="I408" s="23">
        <v>3</v>
      </c>
      <c r="J408" s="8"/>
      <c r="K408" s="8"/>
      <c r="L408" s="8"/>
      <c r="M408" s="8"/>
      <c r="N408" s="8"/>
      <c r="O408" s="8"/>
      <c r="P408" s="8"/>
      <c r="Q408" s="157"/>
      <c r="R408" s="8"/>
      <c r="S408" s="8"/>
      <c r="T408" s="8"/>
      <c r="U408" s="8"/>
      <c r="V408" s="8"/>
      <c r="W408" s="8"/>
      <c r="X408" s="8"/>
      <c r="Y408" s="8"/>
      <c r="Z408" s="8"/>
      <c r="AA408" s="8"/>
      <c r="AB408" s="8"/>
      <c r="AC408" s="314" t="str">
        <f t="shared" si="106"/>
        <v>no</v>
      </c>
      <c r="AD408" s="314">
        <f>COUNTA(first:Last!R408)</f>
        <v>0</v>
      </c>
      <c r="AE408" s="157">
        <f>SUM(first:Last!Z408)</f>
        <v>0</v>
      </c>
      <c r="AF408" s="157" t="str">
        <f t="shared" si="107"/>
        <v>yes</v>
      </c>
      <c r="AG408" s="157">
        <f>COUNTA(Last:end!M408)</f>
        <v>2</v>
      </c>
      <c r="AH408" s="520">
        <f>COUNTA(Last:end!M408)/6</f>
        <v>0.33333333333333331</v>
      </c>
      <c r="AI408" s="157">
        <f>SUM(Last:end!O408)</f>
        <v>0</v>
      </c>
      <c r="AJ408" s="157">
        <f>MIN(Last:end!L408)</f>
        <v>2023</v>
      </c>
      <c r="AK408" s="157" t="e">
        <f>IF(AND(AJ408&lt;=2023,#REF!="high interest / inadequate offer "),"yes","no")</f>
        <v>#REF!</v>
      </c>
      <c r="AL408" s="157" t="str">
        <f t="shared" si="108"/>
        <v>no</v>
      </c>
      <c r="AM408" s="157"/>
      <c r="AN408" s="157"/>
      <c r="AO408" s="157"/>
      <c r="AP408" s="157">
        <v>1</v>
      </c>
    </row>
    <row r="409" spans="1:209" ht="62.25" customHeight="1">
      <c r="A409" s="8" t="s">
        <v>24</v>
      </c>
      <c r="B409" s="31" t="s">
        <v>587</v>
      </c>
      <c r="C409" s="18" t="s">
        <v>1128</v>
      </c>
      <c r="D409" s="18" t="s">
        <v>1137</v>
      </c>
      <c r="E409" s="69" t="s">
        <v>1138</v>
      </c>
      <c r="F409" s="8"/>
      <c r="G409" s="18" t="s">
        <v>62</v>
      </c>
      <c r="H409" s="18" t="s">
        <v>591</v>
      </c>
      <c r="I409" s="23">
        <v>4</v>
      </c>
      <c r="J409" s="8"/>
      <c r="K409" s="8"/>
      <c r="L409" s="8"/>
      <c r="M409" s="8"/>
      <c r="N409" s="8"/>
      <c r="O409" s="8"/>
      <c r="P409" s="8"/>
      <c r="Q409" s="157"/>
      <c r="R409" s="8"/>
      <c r="S409" s="8"/>
      <c r="T409" s="8"/>
      <c r="U409" s="8"/>
      <c r="V409" s="8"/>
      <c r="W409" s="8"/>
      <c r="X409" s="8"/>
      <c r="Y409" s="8"/>
      <c r="Z409" s="8"/>
      <c r="AA409" s="8"/>
      <c r="AB409" s="8"/>
      <c r="AC409" s="314" t="str">
        <f t="shared" si="106"/>
        <v>no</v>
      </c>
      <c r="AD409" s="314">
        <f>COUNTA(first:Last!R409)</f>
        <v>0</v>
      </c>
      <c r="AE409" s="157">
        <f>SUM(first:Last!Z409)</f>
        <v>0</v>
      </c>
      <c r="AF409" s="157" t="str">
        <f t="shared" si="107"/>
        <v>yes</v>
      </c>
      <c r="AG409" s="157">
        <f>COUNTA(Last:end!M409)</f>
        <v>2</v>
      </c>
      <c r="AH409" s="520">
        <f>COUNTA(Last:end!M409)/6</f>
        <v>0.33333333333333331</v>
      </c>
      <c r="AI409" s="157">
        <f>SUM(Last:end!O409)</f>
        <v>0</v>
      </c>
      <c r="AJ409" s="157">
        <f>MIN(Last:end!L409)</f>
        <v>2023</v>
      </c>
      <c r="AK409" s="157" t="e">
        <f>IF(AND(AJ409&lt;=2023,#REF!="high interest / inadequate offer "),"yes","no")</f>
        <v>#REF!</v>
      </c>
      <c r="AL409" s="157" t="str">
        <f t="shared" si="108"/>
        <v>no</v>
      </c>
      <c r="AM409" s="157"/>
      <c r="AN409" s="157"/>
      <c r="AO409" s="157"/>
      <c r="AP409" s="157">
        <v>1</v>
      </c>
    </row>
    <row r="410" spans="1:209" ht="62.25" customHeight="1">
      <c r="A410" s="8" t="s">
        <v>24</v>
      </c>
      <c r="B410" s="31" t="s">
        <v>587</v>
      </c>
      <c r="C410" s="18" t="s">
        <v>1128</v>
      </c>
      <c r="D410" s="18" t="s">
        <v>1139</v>
      </c>
      <c r="E410" s="69" t="s">
        <v>1140</v>
      </c>
      <c r="F410" s="8"/>
      <c r="G410" s="18" t="s">
        <v>62</v>
      </c>
      <c r="H410" s="18" t="s">
        <v>591</v>
      </c>
      <c r="I410" s="23">
        <v>5</v>
      </c>
      <c r="J410" s="8"/>
      <c r="K410" s="8"/>
      <c r="L410" s="8"/>
      <c r="M410" s="8"/>
      <c r="N410" s="8"/>
      <c r="O410" s="8"/>
      <c r="P410" s="8"/>
      <c r="Q410" s="157"/>
      <c r="R410" s="8"/>
      <c r="S410" s="8"/>
      <c r="T410" s="8"/>
      <c r="U410" s="8"/>
      <c r="V410" s="8"/>
      <c r="W410" s="8"/>
      <c r="X410" s="8"/>
      <c r="Y410" s="8"/>
      <c r="Z410" s="8"/>
      <c r="AA410" s="8"/>
      <c r="AB410" s="8"/>
      <c r="AC410" s="314" t="str">
        <f t="shared" si="106"/>
        <v>no</v>
      </c>
      <c r="AD410" s="314">
        <f>COUNTA(first:Last!R410)</f>
        <v>0</v>
      </c>
      <c r="AE410" s="157">
        <f>SUM(first:Last!Z410)</f>
        <v>0</v>
      </c>
      <c r="AF410" s="157" t="str">
        <f t="shared" si="107"/>
        <v>yes</v>
      </c>
      <c r="AG410" s="157">
        <f>COUNTA(Last:end!M410)</f>
        <v>1</v>
      </c>
      <c r="AH410" s="520">
        <f>COUNTA(Last:end!M410)/6</f>
        <v>0.16666666666666666</v>
      </c>
      <c r="AI410" s="157">
        <f>SUM(Last:end!O410)</f>
        <v>0</v>
      </c>
      <c r="AJ410" s="157">
        <f>MIN(Last:end!L410)</f>
        <v>2023</v>
      </c>
      <c r="AK410" s="157" t="e">
        <f>IF(AND(AJ410&lt;=2023,#REF!="high interest / inadequate offer "),"yes","no")</f>
        <v>#REF!</v>
      </c>
      <c r="AL410" s="157" t="str">
        <f t="shared" si="108"/>
        <v>no</v>
      </c>
      <c r="AM410" s="157"/>
      <c r="AN410" s="157"/>
      <c r="AO410" s="157"/>
      <c r="AP410" s="157">
        <v>1</v>
      </c>
    </row>
    <row r="411" spans="1:209" ht="62.25"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8"/>
      <c r="Q411" s="157"/>
      <c r="R411" s="8"/>
      <c r="S411" s="8"/>
      <c r="T411" s="8"/>
      <c r="U411" s="8"/>
      <c r="V411" s="8"/>
      <c r="W411" s="8"/>
      <c r="X411" s="8"/>
      <c r="Y411" s="8"/>
      <c r="Z411" s="8"/>
      <c r="AA411" s="8"/>
      <c r="AB411" s="8"/>
      <c r="AC411" s="314" t="str">
        <f t="shared" si="106"/>
        <v>no</v>
      </c>
      <c r="AD411" s="314">
        <f>COUNTA(first:Last!R411)</f>
        <v>0</v>
      </c>
      <c r="AE411" s="157">
        <f>SUM(first:Last!Z411)</f>
        <v>0</v>
      </c>
      <c r="AF411" s="157" t="str">
        <f t="shared" si="107"/>
        <v>yes</v>
      </c>
      <c r="AG411" s="157">
        <f>COUNTA(Last:end!M411)</f>
        <v>1</v>
      </c>
      <c r="AH411" s="520">
        <f>COUNTA(Last:end!M411)/6</f>
        <v>0.16666666666666666</v>
      </c>
      <c r="AI411" s="157">
        <f>SUM(Last:end!O411)</f>
        <v>0</v>
      </c>
      <c r="AJ411" s="157">
        <f>MIN(Last:end!L411)</f>
        <v>2023</v>
      </c>
      <c r="AK411" s="157" t="e">
        <f>IF(AND(AJ411&lt;=2023,#REF!="high interest / inadequate offer "),"yes","no")</f>
        <v>#REF!</v>
      </c>
      <c r="AL411" s="157" t="str">
        <f t="shared" si="108"/>
        <v>no</v>
      </c>
      <c r="AM411" s="157"/>
      <c r="AN411" s="157"/>
      <c r="AO411" s="157"/>
      <c r="AP411" s="157">
        <v>1</v>
      </c>
    </row>
    <row r="412" spans="1:209" ht="63">
      <c r="A412" s="8" t="s">
        <v>24</v>
      </c>
      <c r="B412" s="31" t="s">
        <v>587</v>
      </c>
      <c r="C412" s="18" t="s">
        <v>1144</v>
      </c>
      <c r="D412" s="18" t="s">
        <v>1145</v>
      </c>
      <c r="E412" s="18" t="s">
        <v>1146</v>
      </c>
      <c r="F412" s="8"/>
      <c r="G412" s="18" t="s">
        <v>1147</v>
      </c>
      <c r="H412" s="18" t="s">
        <v>735</v>
      </c>
      <c r="I412" s="23">
        <v>1</v>
      </c>
      <c r="J412" s="8"/>
      <c r="K412" s="8"/>
      <c r="L412" s="8"/>
      <c r="M412" s="8"/>
      <c r="N412" s="8"/>
      <c r="O412" s="8"/>
      <c r="P412" s="8"/>
      <c r="Q412" s="157"/>
      <c r="R412" s="8"/>
      <c r="S412" s="8"/>
      <c r="T412" s="8"/>
      <c r="U412" s="8"/>
      <c r="V412" s="8"/>
      <c r="W412" s="8"/>
      <c r="X412" s="8"/>
      <c r="Y412" s="8"/>
      <c r="Z412" s="8"/>
      <c r="AA412" s="8"/>
      <c r="AB412" s="8"/>
      <c r="AC412" s="314" t="str">
        <f t="shared" si="106"/>
        <v>no</v>
      </c>
      <c r="AD412" s="314">
        <f>COUNTA(first:Last!R412)</f>
        <v>0</v>
      </c>
      <c r="AE412" s="157">
        <f>SUM(first:Last!Z412)</f>
        <v>0</v>
      </c>
      <c r="AF412" s="157" t="str">
        <f t="shared" si="107"/>
        <v>no</v>
      </c>
      <c r="AG412" s="157">
        <f>COUNTA(Last:end!M412)</f>
        <v>0</v>
      </c>
      <c r="AH412" s="520">
        <f>COUNTA(Last:end!M412)/6</f>
        <v>0</v>
      </c>
      <c r="AI412" s="157">
        <f>SUM(Last:end!O412)</f>
        <v>0</v>
      </c>
      <c r="AJ412" s="157">
        <f>MIN(Last:end!L412)</f>
        <v>0</v>
      </c>
      <c r="AK412" s="157" t="e">
        <f>IF(AND(AJ412&lt;=2023,#REF!="high interest / inadequate offer "),"yes","no")</f>
        <v>#REF!</v>
      </c>
      <c r="AL412" s="157" t="str">
        <f t="shared" si="108"/>
        <v>no</v>
      </c>
      <c r="AM412" s="157"/>
      <c r="AN412" s="157"/>
      <c r="AO412" s="157"/>
      <c r="AP412" s="157">
        <v>1</v>
      </c>
    </row>
    <row r="413" spans="1:209" ht="62.25" customHeight="1">
      <c r="A413" s="8" t="s">
        <v>24</v>
      </c>
      <c r="B413" s="31" t="s">
        <v>587</v>
      </c>
      <c r="C413" s="18" t="s">
        <v>1144</v>
      </c>
      <c r="D413" s="18" t="s">
        <v>1148</v>
      </c>
      <c r="E413" s="18" t="s">
        <v>1146</v>
      </c>
      <c r="F413" s="8"/>
      <c r="G413" s="18" t="s">
        <v>1149</v>
      </c>
      <c r="H413" s="18" t="s">
        <v>428</v>
      </c>
      <c r="I413" s="23">
        <v>1</v>
      </c>
      <c r="J413" s="8"/>
      <c r="K413" s="8"/>
      <c r="L413" s="8"/>
      <c r="M413" s="8"/>
      <c r="N413" s="8"/>
      <c r="O413" s="8"/>
      <c r="P413" s="8"/>
      <c r="Q413" s="157"/>
      <c r="R413" s="8"/>
      <c r="S413" s="8"/>
      <c r="T413" s="8"/>
      <c r="U413" s="8"/>
      <c r="V413" s="8"/>
      <c r="W413" s="8"/>
      <c r="X413" s="8"/>
      <c r="Y413" s="8"/>
      <c r="Z413" s="8"/>
      <c r="AA413" s="8"/>
      <c r="AB413" s="8"/>
      <c r="AC413" s="314" t="str">
        <f t="shared" si="106"/>
        <v>no</v>
      </c>
      <c r="AD413" s="314">
        <f>COUNTA(first:Last!R413)</f>
        <v>0</v>
      </c>
      <c r="AE413" s="157">
        <f>SUM(first:Last!Z413)</f>
        <v>0</v>
      </c>
      <c r="AF413" s="157" t="str">
        <f t="shared" si="107"/>
        <v>yes</v>
      </c>
      <c r="AG413" s="157">
        <f>COUNTA(Last:end!M413)</f>
        <v>1</v>
      </c>
      <c r="AH413" s="520">
        <f>COUNTA(Last:end!M413)/6</f>
        <v>0.16666666666666666</v>
      </c>
      <c r="AI413" s="157">
        <f>SUM(Last:end!O413)</f>
        <v>0</v>
      </c>
      <c r="AJ413" s="157">
        <f>MIN(Last:end!L413)</f>
        <v>2023</v>
      </c>
      <c r="AK413" s="157" t="e">
        <f>IF(AND(AJ413&lt;=2023,#REF!="high interest / inadequate offer "),"yes","no")</f>
        <v>#REF!</v>
      </c>
      <c r="AL413" s="157" t="str">
        <f t="shared" si="108"/>
        <v>no</v>
      </c>
      <c r="AM413" s="157"/>
      <c r="AN413" s="157"/>
      <c r="AO413" s="157"/>
      <c r="AP413" s="157">
        <v>1</v>
      </c>
    </row>
    <row r="414" spans="1:209" s="5" customFormat="1" ht="78.75">
      <c r="A414" s="20" t="s">
        <v>24</v>
      </c>
      <c r="B414" s="32" t="s">
        <v>587</v>
      </c>
      <c r="C414" s="24" t="s">
        <v>1150</v>
      </c>
      <c r="D414" s="19" t="s">
        <v>582</v>
      </c>
      <c r="E414" s="24" t="s">
        <v>582</v>
      </c>
      <c r="F414" s="24" t="s">
        <v>582</v>
      </c>
      <c r="G414" s="19" t="s">
        <v>582</v>
      </c>
      <c r="H414" s="19" t="s">
        <v>582</v>
      </c>
      <c r="I414" s="19" t="s">
        <v>582</v>
      </c>
      <c r="J414" s="19" t="s">
        <v>582</v>
      </c>
      <c r="K414" s="19" t="s">
        <v>582</v>
      </c>
      <c r="L414" s="19" t="s">
        <v>582</v>
      </c>
      <c r="M414" s="19" t="s">
        <v>582</v>
      </c>
      <c r="N414" s="19" t="s">
        <v>582</v>
      </c>
      <c r="O414" s="19" t="s">
        <v>582</v>
      </c>
      <c r="P414" s="19" t="s">
        <v>582</v>
      </c>
      <c r="Q414" s="19" t="s">
        <v>582</v>
      </c>
      <c r="R414" s="19" t="s">
        <v>582</v>
      </c>
      <c r="S414" s="19" t="s">
        <v>582</v>
      </c>
      <c r="T414" s="19" t="s">
        <v>582</v>
      </c>
      <c r="U414" s="19" t="s">
        <v>582</v>
      </c>
      <c r="V414" s="19" t="s">
        <v>582</v>
      </c>
      <c r="W414" s="19" t="s">
        <v>582</v>
      </c>
      <c r="X414" s="19" t="s">
        <v>582</v>
      </c>
      <c r="Y414" s="19" t="s">
        <v>582</v>
      </c>
      <c r="Z414" s="19" t="s">
        <v>582</v>
      </c>
      <c r="AA414" s="19" t="s">
        <v>582</v>
      </c>
      <c r="AB414" s="19" t="s">
        <v>582</v>
      </c>
      <c r="AC414" s="19" t="s">
        <v>582</v>
      </c>
      <c r="AD414" s="19" t="s">
        <v>582</v>
      </c>
      <c r="AE414" s="19" t="s">
        <v>582</v>
      </c>
      <c r="AF414" s="19" t="s">
        <v>582</v>
      </c>
      <c r="AG414" s="19" t="s">
        <v>582</v>
      </c>
      <c r="AH414" s="19" t="s">
        <v>582</v>
      </c>
      <c r="AI414" s="19" t="s">
        <v>582</v>
      </c>
      <c r="AJ414" s="19" t="s">
        <v>582</v>
      </c>
      <c r="AK414" s="19" t="s">
        <v>582</v>
      </c>
      <c r="AL414" s="19" t="s">
        <v>582</v>
      </c>
      <c r="AM414" s="19" t="s">
        <v>582</v>
      </c>
      <c r="AN414" s="19" t="s">
        <v>582</v>
      </c>
      <c r="AO414" s="19" t="s">
        <v>582</v>
      </c>
      <c r="AP414" s="19">
        <v>0</v>
      </c>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row>
    <row r="415" spans="1:209" ht="62.25" customHeight="1">
      <c r="A415" s="8" t="s">
        <v>24</v>
      </c>
      <c r="B415" s="31" t="s">
        <v>587</v>
      </c>
      <c r="C415" s="18" t="s">
        <v>1151</v>
      </c>
      <c r="D415" s="18" t="s">
        <v>1152</v>
      </c>
      <c r="E415" s="18" t="s">
        <v>1153</v>
      </c>
      <c r="F415" s="8"/>
      <c r="G415" s="18" t="s">
        <v>62</v>
      </c>
      <c r="H415" s="18" t="s">
        <v>1154</v>
      </c>
      <c r="I415" s="18" t="s">
        <v>1155</v>
      </c>
      <c r="J415" s="8"/>
      <c r="K415" s="8"/>
      <c r="L415" s="8"/>
      <c r="M415" s="8"/>
      <c r="N415" s="8"/>
      <c r="O415" s="8"/>
      <c r="P415" s="8"/>
      <c r="Q415" s="157"/>
      <c r="R415" s="8"/>
      <c r="S415" s="8"/>
      <c r="T415" s="8"/>
      <c r="U415" s="8"/>
      <c r="V415" s="8"/>
      <c r="W415" s="8"/>
      <c r="X415" s="8"/>
      <c r="Y415" s="8"/>
      <c r="Z415" s="8"/>
      <c r="AA415" s="8"/>
      <c r="AB415" s="8"/>
      <c r="AC415" s="314" t="str">
        <f t="shared" ref="AC415" si="109">IF(AD415&gt;0,"yes", "no")</f>
        <v>yes</v>
      </c>
      <c r="AD415" s="314">
        <f>COUNTA(first:Last!R415)</f>
        <v>1</v>
      </c>
      <c r="AE415" s="157">
        <f>SUM(first:Last!Z415)</f>
        <v>0</v>
      </c>
      <c r="AF415" s="157" t="str">
        <f t="shared" ref="AF415" si="110">IF(AH415&gt;0,"yes", "no")</f>
        <v>yes</v>
      </c>
      <c r="AG415" s="157">
        <f>COUNTA(Last:end!M415)</f>
        <v>3</v>
      </c>
      <c r="AH415" s="520">
        <f>COUNTA(Last:end!M415)/6</f>
        <v>0.5</v>
      </c>
      <c r="AI415" s="157">
        <f>SUM(Last:end!O415)</f>
        <v>0</v>
      </c>
      <c r="AJ415" s="157">
        <f>MIN(Last:end!L415)</f>
        <v>2023</v>
      </c>
      <c r="AK415" s="157" t="e">
        <f>IF(AND(AJ415&lt;=2023,#REF!="high interest / inadequate offer "),"yes","no")</f>
        <v>#REF!</v>
      </c>
      <c r="AL415" s="157" t="str">
        <f>IF(AD415&gt;1,"yes", "no")</f>
        <v>no</v>
      </c>
      <c r="AM415" s="157"/>
      <c r="AN415" s="157"/>
      <c r="AO415" s="157"/>
      <c r="AP415" s="157">
        <v>1</v>
      </c>
    </row>
    <row r="416" spans="1:209" ht="15.75">
      <c r="A416" s="557" t="s">
        <v>1156</v>
      </c>
      <c r="B416" s="126"/>
      <c r="C416" s="127"/>
      <c r="D416" s="127"/>
      <c r="E416" s="127"/>
      <c r="F416" s="128"/>
      <c r="G416" s="127"/>
      <c r="H416" s="127"/>
      <c r="I416" s="127">
        <v>0</v>
      </c>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v>0</v>
      </c>
    </row>
    <row r="417" spans="1:209" ht="62.25"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8"/>
      <c r="Q417" s="157"/>
      <c r="R417" s="8"/>
      <c r="S417" s="8"/>
      <c r="T417" s="8"/>
      <c r="U417" s="8"/>
      <c r="V417" s="8"/>
      <c r="W417" s="8"/>
      <c r="X417" s="8"/>
      <c r="Y417" s="8"/>
      <c r="Z417" s="8"/>
      <c r="AA417" s="8"/>
      <c r="AB417" s="8"/>
      <c r="AC417" s="314" t="str">
        <f t="shared" ref="AC417:AC418" si="111">IF(AD417&gt;0,"yes", "no")</f>
        <v>yes</v>
      </c>
      <c r="AD417" s="314">
        <f>COUNTA(first:Last!R417)</f>
        <v>1</v>
      </c>
      <c r="AE417" s="157">
        <f>SUM(first:Last!Z417)</f>
        <v>0</v>
      </c>
      <c r="AF417" s="157" t="str">
        <f t="shared" ref="AF417:AF418" si="112">IF(AH417&gt;0,"yes", "no")</f>
        <v>yes</v>
      </c>
      <c r="AG417" s="157">
        <f>COUNTA(Last:end!M417)</f>
        <v>2</v>
      </c>
      <c r="AH417" s="520">
        <f>COUNTA(Last:end!M417)/6</f>
        <v>0.33333333333333331</v>
      </c>
      <c r="AI417" s="157">
        <f>SUM(Last:end!O417)</f>
        <v>0</v>
      </c>
      <c r="AJ417" s="157">
        <f>MIN(Last:end!L417)</f>
        <v>2022</v>
      </c>
      <c r="AK417" s="157" t="e">
        <f>IF(AND(AJ417&lt;=2023,#REF!="high interest / inadequate offer "),"yes","no")</f>
        <v>#REF!</v>
      </c>
      <c r="AL417" s="157" t="str">
        <f>IF(AD417&gt;1,"yes", "no")</f>
        <v>no</v>
      </c>
      <c r="AM417" s="157"/>
      <c r="AN417" s="157"/>
      <c r="AO417" s="157"/>
      <c r="AP417" s="157">
        <v>1</v>
      </c>
    </row>
    <row r="418" spans="1:209" ht="62.25"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8"/>
      <c r="Q418" s="157"/>
      <c r="R418" s="8"/>
      <c r="S418" s="8"/>
      <c r="T418" s="8"/>
      <c r="U418" s="8"/>
      <c r="V418" s="8"/>
      <c r="W418" s="8"/>
      <c r="X418" s="8"/>
      <c r="Y418" s="8"/>
      <c r="Z418" s="8"/>
      <c r="AA418" s="8"/>
      <c r="AB418" s="8"/>
      <c r="AC418" s="314" t="str">
        <f t="shared" si="111"/>
        <v>yes</v>
      </c>
      <c r="AD418" s="314">
        <f>COUNTA(first:Last!R418)</f>
        <v>1</v>
      </c>
      <c r="AE418" s="157">
        <f>SUM(first:Last!Z418)</f>
        <v>93000</v>
      </c>
      <c r="AF418" s="157" t="str">
        <f t="shared" si="112"/>
        <v>yes</v>
      </c>
      <c r="AG418" s="157">
        <f>COUNTA(Last:end!M418)</f>
        <v>2</v>
      </c>
      <c r="AH418" s="520">
        <f>COUNTA(Last:end!M418)/6</f>
        <v>0.33333333333333331</v>
      </c>
      <c r="AI418" s="157">
        <f>SUM(Last:end!O418)</f>
        <v>0</v>
      </c>
      <c r="AJ418" s="157">
        <f>MIN(Last:end!L418)</f>
        <v>2022</v>
      </c>
      <c r="AK418" s="157" t="e">
        <f>IF(AND(AJ418&lt;=2023,#REF!="high interest / inadequate offer "),"yes","no")</f>
        <v>#REF!</v>
      </c>
      <c r="AL418" s="157" t="str">
        <f>IF(AD418&gt;1,"yes", "no")</f>
        <v>no</v>
      </c>
      <c r="AM418" s="157"/>
      <c r="AN418" s="157"/>
      <c r="AO418" s="157"/>
      <c r="AP418" s="157">
        <v>1</v>
      </c>
    </row>
    <row r="419" spans="1:209" ht="31.5">
      <c r="A419" s="24" t="s">
        <v>26</v>
      </c>
      <c r="B419" s="32" t="s">
        <v>54</v>
      </c>
      <c r="C419" s="24" t="s">
        <v>1166</v>
      </c>
      <c r="D419" s="19" t="s">
        <v>582</v>
      </c>
      <c r="E419" s="24" t="s">
        <v>582</v>
      </c>
      <c r="F419" s="24" t="s">
        <v>582</v>
      </c>
      <c r="G419" s="19" t="s">
        <v>582</v>
      </c>
      <c r="H419" s="19" t="s">
        <v>582</v>
      </c>
      <c r="I419" s="19" t="s">
        <v>582</v>
      </c>
      <c r="J419" s="19" t="s">
        <v>582</v>
      </c>
      <c r="K419" s="19" t="s">
        <v>582</v>
      </c>
      <c r="L419" s="19" t="s">
        <v>582</v>
      </c>
      <c r="M419" s="19" t="s">
        <v>582</v>
      </c>
      <c r="N419" s="19" t="s">
        <v>582</v>
      </c>
      <c r="O419" s="19" t="s">
        <v>582</v>
      </c>
      <c r="P419" s="19" t="s">
        <v>582</v>
      </c>
      <c r="Q419" s="19" t="s">
        <v>582</v>
      </c>
      <c r="R419" s="19" t="s">
        <v>582</v>
      </c>
      <c r="S419" s="19" t="s">
        <v>582</v>
      </c>
      <c r="T419" s="19" t="s">
        <v>582</v>
      </c>
      <c r="U419" s="19" t="s">
        <v>582</v>
      </c>
      <c r="V419" s="19" t="s">
        <v>582</v>
      </c>
      <c r="W419" s="19" t="s">
        <v>582</v>
      </c>
      <c r="X419" s="19" t="s">
        <v>582</v>
      </c>
      <c r="Y419" s="19" t="s">
        <v>582</v>
      </c>
      <c r="Z419" s="19" t="s">
        <v>582</v>
      </c>
      <c r="AA419" s="19" t="s">
        <v>582</v>
      </c>
      <c r="AB419" s="19" t="s">
        <v>582</v>
      </c>
      <c r="AC419" s="19" t="s">
        <v>582</v>
      </c>
      <c r="AD419" s="19" t="s">
        <v>582</v>
      </c>
      <c r="AE419" s="19" t="s">
        <v>582</v>
      </c>
      <c r="AF419" s="19" t="s">
        <v>582</v>
      </c>
      <c r="AG419" s="19" t="s">
        <v>582</v>
      </c>
      <c r="AH419" s="19" t="s">
        <v>582</v>
      </c>
      <c r="AI419" s="19" t="s">
        <v>582</v>
      </c>
      <c r="AJ419" s="19" t="s">
        <v>582</v>
      </c>
      <c r="AK419" s="19" t="s">
        <v>582</v>
      </c>
      <c r="AL419" s="19" t="s">
        <v>582</v>
      </c>
      <c r="AM419" s="19" t="s">
        <v>582</v>
      </c>
      <c r="AN419" s="19" t="s">
        <v>582</v>
      </c>
      <c r="AO419" s="19" t="s">
        <v>582</v>
      </c>
      <c r="AP419" s="19">
        <v>0</v>
      </c>
    </row>
    <row r="420" spans="1:209" ht="47.25">
      <c r="A420" s="18" t="s">
        <v>26</v>
      </c>
      <c r="B420" s="31" t="s">
        <v>195</v>
      </c>
      <c r="C420" s="18" t="s">
        <v>1167</v>
      </c>
      <c r="D420" s="18" t="s">
        <v>1168</v>
      </c>
      <c r="E420" s="18" t="s">
        <v>1169</v>
      </c>
      <c r="F420" s="8"/>
      <c r="G420" s="18" t="s">
        <v>71</v>
      </c>
      <c r="H420" s="18" t="s">
        <v>1170</v>
      </c>
      <c r="I420" s="18" t="s">
        <v>1171</v>
      </c>
      <c r="J420" s="8"/>
      <c r="K420" s="8"/>
      <c r="L420" s="8"/>
      <c r="M420" s="8"/>
      <c r="N420" s="8"/>
      <c r="O420" s="8"/>
      <c r="P420" s="8"/>
      <c r="Q420" s="157"/>
      <c r="R420" s="8"/>
      <c r="S420" s="8"/>
      <c r="T420" s="8"/>
      <c r="U420" s="8"/>
      <c r="V420" s="8"/>
      <c r="W420" s="8"/>
      <c r="X420" s="8"/>
      <c r="Y420" s="8"/>
      <c r="Z420" s="8"/>
      <c r="AA420" s="8"/>
      <c r="AB420" s="8"/>
      <c r="AC420" s="314" t="str">
        <f t="shared" ref="AC420:AC421" si="113">IF(AD420&gt;0,"yes", "no")</f>
        <v>yes</v>
      </c>
      <c r="AD420" s="314">
        <f>COUNTA(first:Last!R420)</f>
        <v>1</v>
      </c>
      <c r="AE420" s="157">
        <f>SUM(first:Last!Z420)</f>
        <v>0</v>
      </c>
      <c r="AF420" s="157" t="str">
        <f t="shared" ref="AF420:AF421" si="114">IF(AH420&gt;0,"yes", "no")</f>
        <v>no</v>
      </c>
      <c r="AG420" s="157">
        <f>COUNTA(Last:end!M420)</f>
        <v>0</v>
      </c>
      <c r="AH420" s="520">
        <f>COUNTA(Last:end!M420)/6</f>
        <v>0</v>
      </c>
      <c r="AI420" s="157">
        <f>SUM(Last:end!O420)</f>
        <v>0</v>
      </c>
      <c r="AJ420" s="157">
        <f>MIN(Last:end!L420)</f>
        <v>0</v>
      </c>
      <c r="AK420" s="157" t="e">
        <f>IF(AND(AJ420&lt;=2023,#REF!="high interest / inadequate offer "),"yes","no")</f>
        <v>#REF!</v>
      </c>
      <c r="AL420" s="157" t="str">
        <f>IF(AD420&gt;1,"yes", "no")</f>
        <v>no</v>
      </c>
      <c r="AM420" s="157"/>
      <c r="AN420" s="157"/>
      <c r="AO420" s="157"/>
      <c r="AP420" s="157">
        <v>1</v>
      </c>
    </row>
    <row r="421" spans="1:209" ht="62.25"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8"/>
      <c r="Q421" s="157"/>
      <c r="R421" s="8"/>
      <c r="S421" s="8"/>
      <c r="T421" s="8"/>
      <c r="U421" s="8"/>
      <c r="V421" s="8"/>
      <c r="W421" s="8"/>
      <c r="X421" s="8"/>
      <c r="Y421" s="8"/>
      <c r="Z421" s="8"/>
      <c r="AA421" s="8"/>
      <c r="AB421" s="8"/>
      <c r="AC421" s="314" t="str">
        <f t="shared" si="113"/>
        <v>yes</v>
      </c>
      <c r="AD421" s="314">
        <f>COUNTA(first:Last!R421)</f>
        <v>1</v>
      </c>
      <c r="AE421" s="157">
        <f>SUM(first:Last!Z421)</f>
        <v>0</v>
      </c>
      <c r="AF421" s="157" t="str">
        <f t="shared" si="114"/>
        <v>yes</v>
      </c>
      <c r="AG421" s="157">
        <f>COUNTA(Last:end!M421)</f>
        <v>2</v>
      </c>
      <c r="AH421" s="520">
        <f>COUNTA(Last:end!M421)/6</f>
        <v>0.33333333333333331</v>
      </c>
      <c r="AI421" s="157">
        <f>SUM(Last:end!O421)</f>
        <v>0</v>
      </c>
      <c r="AJ421" s="157">
        <f>MIN(Last:end!L421)</f>
        <v>0</v>
      </c>
      <c r="AK421" s="157" t="e">
        <f>IF(AND(AJ421&lt;=2023,#REF!="high interest / inadequate offer "),"yes","no")</f>
        <v>#REF!</v>
      </c>
      <c r="AL421" s="157" t="str">
        <f>IF(AD421&gt;1,"yes", "no")</f>
        <v>no</v>
      </c>
      <c r="AM421" s="157"/>
      <c r="AN421" s="157"/>
      <c r="AO421" s="157"/>
      <c r="AP421" s="157">
        <v>1</v>
      </c>
    </row>
    <row r="422" spans="1:209" s="2" customFormat="1" ht="63">
      <c r="A422" s="24" t="s">
        <v>26</v>
      </c>
      <c r="B422" s="32" t="s">
        <v>195</v>
      </c>
      <c r="C422" s="24" t="s">
        <v>1176</v>
      </c>
      <c r="D422" s="19" t="s">
        <v>582</v>
      </c>
      <c r="E422" s="24" t="s">
        <v>582</v>
      </c>
      <c r="F422" s="24" t="s">
        <v>582</v>
      </c>
      <c r="G422" s="24" t="s">
        <v>582</v>
      </c>
      <c r="H422" s="19" t="s">
        <v>582</v>
      </c>
      <c r="I422" s="19" t="s">
        <v>582</v>
      </c>
      <c r="J422" s="19" t="s">
        <v>582</v>
      </c>
      <c r="K422" s="19" t="s">
        <v>582</v>
      </c>
      <c r="L422" s="19" t="s">
        <v>582</v>
      </c>
      <c r="M422" s="19" t="s">
        <v>582</v>
      </c>
      <c r="N422" s="19" t="s">
        <v>582</v>
      </c>
      <c r="O422" s="19" t="s">
        <v>582</v>
      </c>
      <c r="P422" s="19" t="s">
        <v>582</v>
      </c>
      <c r="Q422" s="549"/>
      <c r="R422" s="19" t="s">
        <v>582</v>
      </c>
      <c r="S422" s="19" t="s">
        <v>582</v>
      </c>
      <c r="T422" s="19" t="s">
        <v>582</v>
      </c>
      <c r="U422" s="19"/>
      <c r="V422" s="19" t="s">
        <v>582</v>
      </c>
      <c r="W422" s="19" t="s">
        <v>582</v>
      </c>
      <c r="X422" s="19" t="s">
        <v>582</v>
      </c>
      <c r="Y422" s="19" t="s">
        <v>582</v>
      </c>
      <c r="Z422" s="19" t="s">
        <v>582</v>
      </c>
      <c r="AA422" s="19" t="s">
        <v>582</v>
      </c>
      <c r="AB422" s="19"/>
      <c r="AC422" s="20"/>
      <c r="AD422" s="20"/>
      <c r="AE422" s="20"/>
      <c r="AF422" s="20"/>
      <c r="AG422" s="20"/>
      <c r="AH422" s="20"/>
      <c r="AI422" s="20"/>
      <c r="AJ422" s="20"/>
      <c r="AK422" s="20"/>
      <c r="AL422" s="20"/>
      <c r="AM422" s="20"/>
      <c r="AN422" s="20"/>
      <c r="AO422" s="20"/>
      <c r="AP422" s="20">
        <v>0</v>
      </c>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row>
    <row r="423" spans="1:209" s="2" customFormat="1" ht="47.25">
      <c r="A423" s="24" t="s">
        <v>26</v>
      </c>
      <c r="B423" s="32" t="s">
        <v>195</v>
      </c>
      <c r="C423" s="24" t="s">
        <v>1177</v>
      </c>
      <c r="D423" s="19" t="s">
        <v>582</v>
      </c>
      <c r="E423" s="24" t="s">
        <v>582</v>
      </c>
      <c r="F423" s="24" t="s">
        <v>582</v>
      </c>
      <c r="G423" s="24" t="s">
        <v>582</v>
      </c>
      <c r="H423" s="19" t="s">
        <v>582</v>
      </c>
      <c r="I423" s="19" t="s">
        <v>582</v>
      </c>
      <c r="J423" s="19" t="s">
        <v>582</v>
      </c>
      <c r="K423" s="19" t="s">
        <v>582</v>
      </c>
      <c r="L423" s="19" t="s">
        <v>582</v>
      </c>
      <c r="M423" s="19" t="s">
        <v>582</v>
      </c>
      <c r="N423" s="19" t="s">
        <v>582</v>
      </c>
      <c r="O423" s="19" t="s">
        <v>582</v>
      </c>
      <c r="P423" s="19" t="s">
        <v>582</v>
      </c>
      <c r="Q423" s="549"/>
      <c r="R423" s="19" t="s">
        <v>582</v>
      </c>
      <c r="S423" s="19" t="s">
        <v>582</v>
      </c>
      <c r="T423" s="19" t="s">
        <v>582</v>
      </c>
      <c r="U423" s="19"/>
      <c r="V423" s="19" t="s">
        <v>582</v>
      </c>
      <c r="W423" s="19" t="s">
        <v>582</v>
      </c>
      <c r="X423" s="19" t="s">
        <v>582</v>
      </c>
      <c r="Y423" s="19" t="s">
        <v>582</v>
      </c>
      <c r="Z423" s="19" t="s">
        <v>582</v>
      </c>
      <c r="AA423" s="19" t="s">
        <v>582</v>
      </c>
      <c r="AB423" s="19"/>
      <c r="AC423" s="20"/>
      <c r="AD423" s="20"/>
      <c r="AE423" s="20"/>
      <c r="AF423" s="20"/>
      <c r="AG423" s="20"/>
      <c r="AH423" s="20"/>
      <c r="AI423" s="20"/>
      <c r="AJ423" s="20"/>
      <c r="AK423" s="20"/>
      <c r="AL423" s="20"/>
      <c r="AM423" s="20"/>
      <c r="AN423" s="20"/>
      <c r="AO423" s="20"/>
      <c r="AP423" s="20">
        <v>0</v>
      </c>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row>
    <row r="424" spans="1:209" s="2" customFormat="1" ht="31.5">
      <c r="A424" s="24" t="s">
        <v>26</v>
      </c>
      <c r="B424" s="32" t="s">
        <v>195</v>
      </c>
      <c r="C424" s="24" t="s">
        <v>1178</v>
      </c>
      <c r="D424" s="19" t="s">
        <v>582</v>
      </c>
      <c r="E424" s="24" t="s">
        <v>582</v>
      </c>
      <c r="F424" s="24" t="s">
        <v>582</v>
      </c>
      <c r="G424" s="24" t="s">
        <v>582</v>
      </c>
      <c r="H424" s="19" t="s">
        <v>582</v>
      </c>
      <c r="I424" s="19" t="s">
        <v>582</v>
      </c>
      <c r="J424" s="19" t="s">
        <v>582</v>
      </c>
      <c r="K424" s="19" t="s">
        <v>582</v>
      </c>
      <c r="L424" s="19" t="s">
        <v>582</v>
      </c>
      <c r="M424" s="19" t="s">
        <v>582</v>
      </c>
      <c r="N424" s="19" t="s">
        <v>582</v>
      </c>
      <c r="O424" s="19" t="s">
        <v>582</v>
      </c>
      <c r="P424" s="19" t="s">
        <v>582</v>
      </c>
      <c r="Q424" s="549"/>
      <c r="R424" s="19" t="s">
        <v>582</v>
      </c>
      <c r="S424" s="19" t="s">
        <v>582</v>
      </c>
      <c r="T424" s="19" t="s">
        <v>582</v>
      </c>
      <c r="U424" s="19"/>
      <c r="V424" s="19" t="s">
        <v>582</v>
      </c>
      <c r="W424" s="19" t="s">
        <v>582</v>
      </c>
      <c r="X424" s="19" t="s">
        <v>582</v>
      </c>
      <c r="Y424" s="19" t="s">
        <v>582</v>
      </c>
      <c r="Z424" s="19" t="s">
        <v>582</v>
      </c>
      <c r="AA424" s="19" t="s">
        <v>582</v>
      </c>
      <c r="AB424" s="19"/>
      <c r="AC424" s="20"/>
      <c r="AD424" s="20"/>
      <c r="AE424" s="20"/>
      <c r="AF424" s="20"/>
      <c r="AG424" s="20"/>
      <c r="AH424" s="20"/>
      <c r="AI424" s="20"/>
      <c r="AJ424" s="20"/>
      <c r="AK424" s="20"/>
      <c r="AL424" s="20"/>
      <c r="AM424" s="20"/>
      <c r="AN424" s="20"/>
      <c r="AO424" s="20"/>
      <c r="AP424" s="20">
        <v>0</v>
      </c>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row>
    <row r="425" spans="1:209" s="2" customFormat="1" ht="47.25">
      <c r="A425" s="24" t="s">
        <v>26</v>
      </c>
      <c r="B425" s="32" t="s">
        <v>274</v>
      </c>
      <c r="C425" s="24" t="s">
        <v>1179</v>
      </c>
      <c r="D425" s="19" t="s">
        <v>582</v>
      </c>
      <c r="E425" s="24" t="s">
        <v>582</v>
      </c>
      <c r="F425" s="24" t="s">
        <v>582</v>
      </c>
      <c r="G425" s="24" t="s">
        <v>582</v>
      </c>
      <c r="H425" s="19" t="s">
        <v>582</v>
      </c>
      <c r="I425" s="19" t="s">
        <v>582</v>
      </c>
      <c r="J425" s="19" t="s">
        <v>582</v>
      </c>
      <c r="K425" s="19" t="s">
        <v>582</v>
      </c>
      <c r="L425" s="19" t="s">
        <v>582</v>
      </c>
      <c r="M425" s="19" t="s">
        <v>582</v>
      </c>
      <c r="N425" s="19" t="s">
        <v>582</v>
      </c>
      <c r="O425" s="19" t="s">
        <v>582</v>
      </c>
      <c r="P425" s="19" t="s">
        <v>582</v>
      </c>
      <c r="Q425" s="549"/>
      <c r="R425" s="19" t="s">
        <v>582</v>
      </c>
      <c r="S425" s="19" t="s">
        <v>582</v>
      </c>
      <c r="T425" s="19" t="s">
        <v>582</v>
      </c>
      <c r="U425" s="19"/>
      <c r="V425" s="19" t="s">
        <v>582</v>
      </c>
      <c r="W425" s="19" t="s">
        <v>582</v>
      </c>
      <c r="X425" s="19" t="s">
        <v>582</v>
      </c>
      <c r="Y425" s="19" t="s">
        <v>582</v>
      </c>
      <c r="Z425" s="19" t="s">
        <v>582</v>
      </c>
      <c r="AA425" s="19" t="s">
        <v>582</v>
      </c>
      <c r="AB425" s="19"/>
      <c r="AC425" s="20"/>
      <c r="AD425" s="20"/>
      <c r="AE425" s="20"/>
      <c r="AF425" s="20"/>
      <c r="AG425" s="20"/>
      <c r="AH425" s="20"/>
      <c r="AI425" s="20"/>
      <c r="AJ425" s="20"/>
      <c r="AK425" s="20"/>
      <c r="AL425" s="20"/>
      <c r="AM425" s="20"/>
      <c r="AN425" s="20"/>
      <c r="AO425" s="20"/>
      <c r="AP425" s="20">
        <v>0</v>
      </c>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row>
    <row r="426" spans="1:209" s="2" customFormat="1" ht="78.75">
      <c r="A426" s="24" t="s">
        <v>26</v>
      </c>
      <c r="B426" s="32" t="s">
        <v>274</v>
      </c>
      <c r="C426" s="24" t="s">
        <v>1180</v>
      </c>
      <c r="D426" s="19" t="s">
        <v>582</v>
      </c>
      <c r="E426" s="24" t="s">
        <v>582</v>
      </c>
      <c r="F426" s="24" t="s">
        <v>582</v>
      </c>
      <c r="G426" s="24" t="s">
        <v>582</v>
      </c>
      <c r="H426" s="19" t="s">
        <v>582</v>
      </c>
      <c r="I426" s="19" t="s">
        <v>582</v>
      </c>
      <c r="J426" s="19" t="s">
        <v>582</v>
      </c>
      <c r="K426" s="19" t="s">
        <v>582</v>
      </c>
      <c r="L426" s="19" t="s">
        <v>582</v>
      </c>
      <c r="M426" s="19" t="s">
        <v>582</v>
      </c>
      <c r="N426" s="19" t="s">
        <v>582</v>
      </c>
      <c r="O426" s="19" t="s">
        <v>582</v>
      </c>
      <c r="P426" s="19" t="s">
        <v>582</v>
      </c>
      <c r="Q426" s="549"/>
      <c r="R426" s="19" t="s">
        <v>582</v>
      </c>
      <c r="S426" s="19" t="s">
        <v>582</v>
      </c>
      <c r="T426" s="19" t="s">
        <v>582</v>
      </c>
      <c r="U426" s="19"/>
      <c r="V426" s="19" t="s">
        <v>582</v>
      </c>
      <c r="W426" s="19" t="s">
        <v>582</v>
      </c>
      <c r="X426" s="19" t="s">
        <v>582</v>
      </c>
      <c r="Y426" s="19" t="s">
        <v>582</v>
      </c>
      <c r="Z426" s="19" t="s">
        <v>582</v>
      </c>
      <c r="AA426" s="19" t="s">
        <v>582</v>
      </c>
      <c r="AB426" s="19"/>
      <c r="AC426" s="20"/>
      <c r="AD426" s="20"/>
      <c r="AE426" s="20"/>
      <c r="AF426" s="20"/>
      <c r="AG426" s="20"/>
      <c r="AH426" s="20"/>
      <c r="AI426" s="20"/>
      <c r="AJ426" s="20"/>
      <c r="AK426" s="20"/>
      <c r="AL426" s="20"/>
      <c r="AM426" s="20"/>
      <c r="AN426" s="20"/>
      <c r="AO426" s="20"/>
      <c r="AP426" s="20">
        <v>0</v>
      </c>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row>
    <row r="427" spans="1:209" s="2" customFormat="1" ht="47.25">
      <c r="A427" s="24" t="s">
        <v>26</v>
      </c>
      <c r="B427" s="32" t="s">
        <v>274</v>
      </c>
      <c r="C427" s="24" t="s">
        <v>1181</v>
      </c>
      <c r="D427" s="19" t="s">
        <v>582</v>
      </c>
      <c r="E427" s="24" t="s">
        <v>582</v>
      </c>
      <c r="F427" s="24" t="s">
        <v>582</v>
      </c>
      <c r="G427" s="24" t="s">
        <v>582</v>
      </c>
      <c r="H427" s="19" t="s">
        <v>582</v>
      </c>
      <c r="I427" s="19" t="s">
        <v>582</v>
      </c>
      <c r="J427" s="19" t="s">
        <v>582</v>
      </c>
      <c r="K427" s="19" t="s">
        <v>582</v>
      </c>
      <c r="L427" s="19" t="s">
        <v>582</v>
      </c>
      <c r="M427" s="19" t="s">
        <v>582</v>
      </c>
      <c r="N427" s="19" t="s">
        <v>582</v>
      </c>
      <c r="O427" s="19" t="s">
        <v>582</v>
      </c>
      <c r="P427" s="19" t="s">
        <v>582</v>
      </c>
      <c r="Q427" s="549"/>
      <c r="R427" s="19" t="s">
        <v>582</v>
      </c>
      <c r="S427" s="19" t="s">
        <v>582</v>
      </c>
      <c r="T427" s="19" t="s">
        <v>582</v>
      </c>
      <c r="U427" s="19"/>
      <c r="V427" s="19" t="s">
        <v>582</v>
      </c>
      <c r="W427" s="19" t="s">
        <v>582</v>
      </c>
      <c r="X427" s="19" t="s">
        <v>582</v>
      </c>
      <c r="Y427" s="19" t="s">
        <v>582</v>
      </c>
      <c r="Z427" s="19" t="s">
        <v>582</v>
      </c>
      <c r="AA427" s="19" t="s">
        <v>582</v>
      </c>
      <c r="AB427" s="19"/>
      <c r="AC427" s="20"/>
      <c r="AD427" s="20"/>
      <c r="AE427" s="20"/>
      <c r="AF427" s="20"/>
      <c r="AG427" s="20"/>
      <c r="AH427" s="20"/>
      <c r="AI427" s="20"/>
      <c r="AJ427" s="20"/>
      <c r="AK427" s="20"/>
      <c r="AL427" s="20"/>
      <c r="AM427" s="20"/>
      <c r="AN427" s="20"/>
      <c r="AO427" s="20"/>
      <c r="AP427" s="20">
        <v>0</v>
      </c>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row>
    <row r="428" spans="1:209" s="2" customFormat="1" ht="63">
      <c r="A428" s="24" t="s">
        <v>26</v>
      </c>
      <c r="B428" s="32" t="s">
        <v>274</v>
      </c>
      <c r="C428" s="24" t="s">
        <v>1182</v>
      </c>
      <c r="D428" s="19" t="s">
        <v>582</v>
      </c>
      <c r="E428" s="24" t="s">
        <v>582</v>
      </c>
      <c r="F428" s="24" t="s">
        <v>582</v>
      </c>
      <c r="G428" s="24" t="s">
        <v>582</v>
      </c>
      <c r="H428" s="19" t="s">
        <v>582</v>
      </c>
      <c r="I428" s="19" t="s">
        <v>582</v>
      </c>
      <c r="J428" s="19" t="s">
        <v>582</v>
      </c>
      <c r="K428" s="19" t="s">
        <v>582</v>
      </c>
      <c r="L428" s="19" t="s">
        <v>582</v>
      </c>
      <c r="M428" s="19" t="s">
        <v>582</v>
      </c>
      <c r="N428" s="19" t="s">
        <v>582</v>
      </c>
      <c r="O428" s="19" t="s">
        <v>582</v>
      </c>
      <c r="P428" s="19" t="s">
        <v>582</v>
      </c>
      <c r="Q428" s="549"/>
      <c r="R428" s="19" t="s">
        <v>582</v>
      </c>
      <c r="S428" s="19" t="s">
        <v>582</v>
      </c>
      <c r="T428" s="19" t="s">
        <v>582</v>
      </c>
      <c r="U428" s="19"/>
      <c r="V428" s="19" t="s">
        <v>582</v>
      </c>
      <c r="W428" s="19" t="s">
        <v>582</v>
      </c>
      <c r="X428" s="19" t="s">
        <v>582</v>
      </c>
      <c r="Y428" s="19" t="s">
        <v>582</v>
      </c>
      <c r="Z428" s="19" t="s">
        <v>582</v>
      </c>
      <c r="AA428" s="19" t="s">
        <v>582</v>
      </c>
      <c r="AB428" s="19"/>
      <c r="AC428" s="20"/>
      <c r="AD428" s="20"/>
      <c r="AE428" s="20"/>
      <c r="AF428" s="20"/>
      <c r="AG428" s="20"/>
      <c r="AH428" s="20"/>
      <c r="AI428" s="20"/>
      <c r="AJ428" s="20"/>
      <c r="AK428" s="20"/>
      <c r="AL428" s="20"/>
      <c r="AM428" s="20"/>
      <c r="AN428" s="20"/>
      <c r="AO428" s="20"/>
      <c r="AP428" s="20">
        <v>0</v>
      </c>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row>
    <row r="429" spans="1:209" s="2" customFormat="1" ht="56.25">
      <c r="A429" s="24" t="s">
        <v>26</v>
      </c>
      <c r="B429" s="32" t="s">
        <v>587</v>
      </c>
      <c r="C429" s="24" t="s">
        <v>1183</v>
      </c>
      <c r="D429" s="19" t="s">
        <v>582</v>
      </c>
      <c r="E429" s="24" t="s">
        <v>582</v>
      </c>
      <c r="F429" s="24" t="s">
        <v>582</v>
      </c>
      <c r="G429" s="24" t="s">
        <v>582</v>
      </c>
      <c r="H429" s="19" t="s">
        <v>582</v>
      </c>
      <c r="I429" s="19" t="s">
        <v>582</v>
      </c>
      <c r="J429" s="19" t="s">
        <v>582</v>
      </c>
      <c r="K429" s="19" t="s">
        <v>582</v>
      </c>
      <c r="L429" s="19" t="s">
        <v>582</v>
      </c>
      <c r="M429" s="19" t="s">
        <v>582</v>
      </c>
      <c r="N429" s="19" t="s">
        <v>582</v>
      </c>
      <c r="O429" s="19" t="s">
        <v>582</v>
      </c>
      <c r="P429" s="19" t="s">
        <v>582</v>
      </c>
      <c r="Q429" s="549"/>
      <c r="R429" s="19" t="s">
        <v>582</v>
      </c>
      <c r="S429" s="19" t="s">
        <v>582</v>
      </c>
      <c r="T429" s="19" t="s">
        <v>582</v>
      </c>
      <c r="U429" s="19"/>
      <c r="V429" s="19" t="s">
        <v>582</v>
      </c>
      <c r="W429" s="19" t="s">
        <v>582</v>
      </c>
      <c r="X429" s="19" t="s">
        <v>582</v>
      </c>
      <c r="Y429" s="19" t="s">
        <v>582</v>
      </c>
      <c r="Z429" s="19" t="s">
        <v>582</v>
      </c>
      <c r="AA429" s="19" t="s">
        <v>582</v>
      </c>
      <c r="AB429" s="19"/>
      <c r="AC429" s="20"/>
      <c r="AD429" s="20"/>
      <c r="AE429" s="20"/>
      <c r="AF429" s="20"/>
      <c r="AG429" s="20"/>
      <c r="AH429" s="20"/>
      <c r="AI429" s="20"/>
      <c r="AJ429" s="20"/>
      <c r="AK429" s="20"/>
      <c r="AL429" s="20"/>
      <c r="AM429" s="20"/>
      <c r="AN429" s="20"/>
      <c r="AO429" s="20"/>
      <c r="AP429" s="20">
        <v>0</v>
      </c>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row>
    <row r="430" spans="1:209" s="2" customFormat="1" ht="63">
      <c r="A430" s="24" t="s">
        <v>26</v>
      </c>
      <c r="B430" s="32" t="s">
        <v>587</v>
      </c>
      <c r="C430" s="24" t="s">
        <v>1184</v>
      </c>
      <c r="D430" s="19" t="s">
        <v>582</v>
      </c>
      <c r="E430" s="24" t="s">
        <v>582</v>
      </c>
      <c r="F430" s="24" t="s">
        <v>582</v>
      </c>
      <c r="G430" s="24" t="s">
        <v>582</v>
      </c>
      <c r="H430" s="19" t="s">
        <v>582</v>
      </c>
      <c r="I430" s="19" t="s">
        <v>582</v>
      </c>
      <c r="J430" s="19" t="s">
        <v>582</v>
      </c>
      <c r="K430" s="19" t="s">
        <v>582</v>
      </c>
      <c r="L430" s="19" t="s">
        <v>582</v>
      </c>
      <c r="M430" s="19" t="s">
        <v>582</v>
      </c>
      <c r="N430" s="19" t="s">
        <v>582</v>
      </c>
      <c r="O430" s="19" t="s">
        <v>582</v>
      </c>
      <c r="P430" s="19" t="s">
        <v>582</v>
      </c>
      <c r="Q430" s="549"/>
      <c r="R430" s="19" t="s">
        <v>582</v>
      </c>
      <c r="S430" s="19" t="s">
        <v>582</v>
      </c>
      <c r="T430" s="19" t="s">
        <v>582</v>
      </c>
      <c r="U430" s="19"/>
      <c r="V430" s="19" t="s">
        <v>582</v>
      </c>
      <c r="W430" s="19" t="s">
        <v>582</v>
      </c>
      <c r="X430" s="19" t="s">
        <v>582</v>
      </c>
      <c r="Y430" s="19" t="s">
        <v>582</v>
      </c>
      <c r="Z430" s="19" t="s">
        <v>582</v>
      </c>
      <c r="AA430" s="19" t="s">
        <v>582</v>
      </c>
      <c r="AB430" s="19"/>
      <c r="AC430" s="20"/>
      <c r="AD430" s="20"/>
      <c r="AE430" s="20"/>
      <c r="AF430" s="20"/>
      <c r="AG430" s="20"/>
      <c r="AH430" s="20"/>
      <c r="AI430" s="20"/>
      <c r="AJ430" s="20"/>
      <c r="AK430" s="20"/>
      <c r="AL430" s="20"/>
      <c r="AM430" s="20"/>
      <c r="AN430" s="20"/>
      <c r="AO430" s="20"/>
      <c r="AP430" s="20">
        <v>0</v>
      </c>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row>
    <row r="431" spans="1:209" s="2" customFormat="1" ht="78.75">
      <c r="A431" s="24" t="s">
        <v>26</v>
      </c>
      <c r="B431" s="32" t="s">
        <v>587</v>
      </c>
      <c r="C431" s="24" t="s">
        <v>1185</v>
      </c>
      <c r="D431" s="19" t="s">
        <v>582</v>
      </c>
      <c r="E431" s="24" t="s">
        <v>582</v>
      </c>
      <c r="F431" s="24" t="s">
        <v>582</v>
      </c>
      <c r="G431" s="24" t="s">
        <v>582</v>
      </c>
      <c r="H431" s="19" t="s">
        <v>582</v>
      </c>
      <c r="I431" s="19" t="s">
        <v>582</v>
      </c>
      <c r="J431" s="19" t="s">
        <v>582</v>
      </c>
      <c r="K431" s="19" t="s">
        <v>582</v>
      </c>
      <c r="L431" s="19" t="s">
        <v>582</v>
      </c>
      <c r="M431" s="19" t="s">
        <v>582</v>
      </c>
      <c r="N431" s="19" t="s">
        <v>582</v>
      </c>
      <c r="O431" s="19" t="s">
        <v>582</v>
      </c>
      <c r="P431" s="19" t="s">
        <v>582</v>
      </c>
      <c r="Q431" s="549"/>
      <c r="R431" s="19" t="s">
        <v>582</v>
      </c>
      <c r="S431" s="19" t="s">
        <v>582</v>
      </c>
      <c r="T431" s="19" t="s">
        <v>582</v>
      </c>
      <c r="U431" s="19"/>
      <c r="V431" s="19" t="s">
        <v>582</v>
      </c>
      <c r="W431" s="19" t="s">
        <v>582</v>
      </c>
      <c r="X431" s="19" t="s">
        <v>582</v>
      </c>
      <c r="Y431" s="19" t="s">
        <v>582</v>
      </c>
      <c r="Z431" s="19" t="s">
        <v>582</v>
      </c>
      <c r="AA431" s="19" t="s">
        <v>582</v>
      </c>
      <c r="AB431" s="19"/>
      <c r="AC431" s="20"/>
      <c r="AD431" s="20"/>
      <c r="AE431" s="20"/>
      <c r="AF431" s="20"/>
      <c r="AG431" s="20"/>
      <c r="AH431" s="20"/>
      <c r="AI431" s="20"/>
      <c r="AJ431" s="20"/>
      <c r="AK431" s="20"/>
      <c r="AL431" s="20"/>
      <c r="AM431" s="20"/>
      <c r="AN431" s="20"/>
      <c r="AO431" s="20"/>
      <c r="AP431" s="20">
        <v>0</v>
      </c>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row>
    <row r="432" spans="1:209" ht="62.25"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8"/>
      <c r="Q432" s="157"/>
      <c r="R432" s="8"/>
      <c r="S432" s="8"/>
      <c r="T432" s="8"/>
      <c r="U432" s="8"/>
      <c r="V432" s="8"/>
      <c r="W432" s="8"/>
      <c r="X432" s="8"/>
      <c r="Y432" s="8"/>
      <c r="Z432" s="8"/>
      <c r="AA432" s="8"/>
      <c r="AB432" s="8"/>
      <c r="AC432" s="314" t="str">
        <f t="shared" ref="AC432" si="115">IF(AD432&gt;0,"yes", "no")</f>
        <v>yes</v>
      </c>
      <c r="AD432" s="314">
        <f>COUNTA(first:Last!R432)</f>
        <v>1</v>
      </c>
      <c r="AE432" s="157">
        <f>SUM(first:Last!Z432)</f>
        <v>0</v>
      </c>
      <c r="AF432" s="157" t="str">
        <f t="shared" ref="AF432" si="116">IF(AH432&gt;0,"yes", "no")</f>
        <v>yes</v>
      </c>
      <c r="AG432" s="157">
        <f>COUNTA(Last:end!M432)</f>
        <v>2</v>
      </c>
      <c r="AH432" s="520">
        <f>COUNTA(Last:end!M432)/6</f>
        <v>0.33333333333333331</v>
      </c>
      <c r="AI432" s="157">
        <f>SUM(Last:end!O432)</f>
        <v>0</v>
      </c>
      <c r="AJ432" s="157">
        <f>MIN(Last:end!L432)</f>
        <v>2022</v>
      </c>
      <c r="AK432" s="157" t="e">
        <f>IF(AND(AJ432&lt;=2023,#REF!="high interest / inadequate offer "),"yes","no")</f>
        <v>#REF!</v>
      </c>
      <c r="AL432" s="157" t="str">
        <f t="shared" ref="AL432" si="117">IF(AD432&gt;1,"yes", "no")</f>
        <v>no</v>
      </c>
      <c r="AM432" s="157"/>
      <c r="AN432" s="157"/>
      <c r="AO432" s="157"/>
      <c r="AP432" s="157">
        <v>1</v>
      </c>
    </row>
    <row r="433" spans="17:42" ht="62.25" customHeight="1">
      <c r="Q433" s="1"/>
      <c r="R433" s="1"/>
      <c r="S433" s="1"/>
      <c r="T433" s="1"/>
      <c r="U433" s="1"/>
      <c r="V433" s="1"/>
      <c r="W433" s="1"/>
      <c r="X433" s="1"/>
      <c r="Y433" s="1"/>
      <c r="Z433" s="1"/>
      <c r="AB433" s="1"/>
      <c r="AC433" s="558"/>
      <c r="AD433" s="558"/>
      <c r="AE433" s="1"/>
      <c r="AF433" s="1"/>
      <c r="AG433" s="1"/>
      <c r="AH433" s="559"/>
      <c r="AI433" s="1"/>
      <c r="AJ433" s="1"/>
      <c r="AK433" s="1"/>
      <c r="AL433" s="1"/>
      <c r="AM433" s="1"/>
      <c r="AN433" s="1"/>
      <c r="AO433" s="1"/>
      <c r="AP433" s="1"/>
    </row>
    <row r="434" spans="17:42" ht="62.25" customHeight="1">
      <c r="Q434" s="1"/>
      <c r="R434" s="1"/>
      <c r="S434" s="1"/>
      <c r="T434" s="1"/>
      <c r="U434" s="1"/>
      <c r="V434" s="1"/>
      <c r="W434" s="1"/>
      <c r="X434" s="1"/>
      <c r="Y434" s="1"/>
      <c r="Z434" s="1"/>
      <c r="AB434" s="1"/>
      <c r="AC434" s="558"/>
      <c r="AD434" s="558"/>
      <c r="AE434" s="1"/>
      <c r="AF434" s="1"/>
      <c r="AG434" s="1"/>
      <c r="AH434" s="559"/>
      <c r="AI434" s="1"/>
      <c r="AJ434" s="1"/>
      <c r="AK434" s="1"/>
      <c r="AL434" s="1"/>
      <c r="AM434" s="1"/>
      <c r="AN434" s="1"/>
      <c r="AO434" s="1"/>
      <c r="AP434" s="1"/>
    </row>
    <row r="435" spans="17:42" ht="62.25" customHeight="1">
      <c r="Q435" s="1"/>
      <c r="R435" s="1"/>
      <c r="S435" s="1"/>
      <c r="T435" s="1"/>
      <c r="U435" s="1"/>
      <c r="V435" s="1"/>
      <c r="W435" s="1"/>
      <c r="X435" s="1"/>
      <c r="Y435" s="1"/>
      <c r="Z435" s="1"/>
      <c r="AB435" s="1"/>
      <c r="AC435" s="558"/>
      <c r="AD435" s="558"/>
      <c r="AE435" s="1"/>
      <c r="AF435" s="1"/>
      <c r="AG435" s="1"/>
      <c r="AH435" s="559"/>
      <c r="AI435" s="1"/>
      <c r="AJ435" s="1"/>
      <c r="AK435" s="1"/>
      <c r="AL435" s="1"/>
      <c r="AM435" s="1"/>
      <c r="AN435" s="1"/>
      <c r="AO435" s="1"/>
      <c r="AP435" s="1"/>
    </row>
    <row r="436" spans="17:42" ht="62.25" customHeight="1">
      <c r="Q436" s="1"/>
      <c r="R436" s="1"/>
      <c r="S436" s="1"/>
      <c r="T436" s="1"/>
      <c r="U436" s="1"/>
      <c r="V436" s="1"/>
      <c r="W436" s="1"/>
      <c r="X436" s="1"/>
      <c r="Y436" s="1"/>
      <c r="Z436" s="1"/>
      <c r="AB436" s="1"/>
      <c r="AC436" s="558"/>
      <c r="AD436" s="558"/>
      <c r="AE436" s="1"/>
      <c r="AF436" s="1"/>
      <c r="AG436" s="1"/>
      <c r="AH436" s="559"/>
      <c r="AI436" s="1"/>
      <c r="AJ436" s="1"/>
      <c r="AK436" s="1"/>
      <c r="AL436" s="1"/>
      <c r="AM436" s="1"/>
      <c r="AN436" s="1"/>
      <c r="AO436" s="1"/>
      <c r="AP436" s="1"/>
    </row>
    <row r="437" spans="17:42" ht="62.25" customHeight="1">
      <c r="Q437" s="1"/>
      <c r="R437" s="1"/>
      <c r="S437" s="1"/>
      <c r="T437" s="1"/>
      <c r="U437" s="1"/>
      <c r="V437" s="1"/>
      <c r="W437" s="1"/>
      <c r="X437" s="1"/>
      <c r="Y437" s="1"/>
      <c r="Z437" s="1"/>
      <c r="AB437" s="1"/>
      <c r="AC437" s="558"/>
      <c r="AD437" s="558"/>
      <c r="AE437" s="1"/>
      <c r="AF437" s="1"/>
      <c r="AG437" s="1"/>
      <c r="AH437" s="559"/>
      <c r="AI437" s="1"/>
      <c r="AJ437" s="1"/>
      <c r="AK437" s="1"/>
      <c r="AL437" s="1"/>
      <c r="AM437" s="1"/>
      <c r="AN437" s="1"/>
      <c r="AO437" s="1"/>
      <c r="AP437" s="1"/>
    </row>
    <row r="438" spans="17:42" ht="62.25" customHeight="1">
      <c r="Q438" s="1"/>
      <c r="R438" s="1"/>
      <c r="S438" s="1"/>
      <c r="T438" s="1"/>
      <c r="U438" s="1"/>
      <c r="V438" s="1"/>
      <c r="W438" s="1"/>
      <c r="X438" s="1"/>
      <c r="Y438" s="1"/>
      <c r="Z438" s="1"/>
      <c r="AB438" s="1"/>
      <c r="AC438" s="558"/>
      <c r="AD438" s="558"/>
      <c r="AE438" s="1"/>
      <c r="AF438" s="1"/>
      <c r="AG438" s="1"/>
      <c r="AH438" s="559"/>
      <c r="AI438" s="1"/>
      <c r="AJ438" s="1"/>
      <c r="AK438" s="1"/>
      <c r="AL438" s="1"/>
      <c r="AM438" s="1"/>
      <c r="AN438" s="1"/>
      <c r="AO438" s="1"/>
      <c r="AP438" s="1"/>
    </row>
    <row r="439" spans="17:42" ht="62.25" customHeight="1">
      <c r="Q439" s="1"/>
      <c r="R439" s="1"/>
      <c r="S439" s="1"/>
      <c r="T439" s="1"/>
      <c r="U439" s="1"/>
      <c r="V439" s="1"/>
      <c r="W439" s="1"/>
      <c r="X439" s="1"/>
      <c r="Y439" s="1"/>
      <c r="Z439" s="1"/>
      <c r="AB439" s="1"/>
      <c r="AC439" s="558"/>
      <c r="AD439" s="558"/>
      <c r="AE439" s="1"/>
      <c r="AF439" s="1"/>
      <c r="AG439" s="1"/>
      <c r="AH439" s="559"/>
      <c r="AI439" s="1"/>
      <c r="AJ439" s="1"/>
      <c r="AK439" s="1"/>
      <c r="AL439" s="1"/>
      <c r="AM439" s="1"/>
      <c r="AN439" s="1"/>
      <c r="AO439" s="1"/>
      <c r="AP439" s="1"/>
    </row>
    <row r="440" spans="17:42" ht="62.25" customHeight="1">
      <c r="Q440" s="1"/>
      <c r="R440" s="1"/>
      <c r="S440" s="1"/>
      <c r="T440" s="1"/>
      <c r="U440" s="1"/>
      <c r="V440" s="1"/>
      <c r="W440" s="1"/>
      <c r="X440" s="1"/>
      <c r="Y440" s="1"/>
      <c r="Z440" s="1"/>
      <c r="AB440" s="1"/>
      <c r="AC440" s="558"/>
      <c r="AD440" s="558"/>
      <c r="AE440" s="1"/>
      <c r="AF440" s="1"/>
      <c r="AG440" s="1"/>
      <c r="AH440" s="559"/>
      <c r="AI440" s="1"/>
      <c r="AJ440" s="1"/>
      <c r="AK440" s="1"/>
      <c r="AL440" s="1"/>
      <c r="AM440" s="1"/>
      <c r="AN440" s="1"/>
      <c r="AO440" s="1"/>
      <c r="AP440" s="1"/>
    </row>
    <row r="441" spans="17:42" ht="62.25" customHeight="1">
      <c r="Q441" s="1"/>
      <c r="R441" s="1"/>
      <c r="S441" s="1"/>
      <c r="T441" s="1"/>
      <c r="U441" s="1"/>
      <c r="V441" s="1"/>
      <c r="W441" s="1"/>
      <c r="X441" s="1"/>
      <c r="Y441" s="1"/>
      <c r="Z441" s="1"/>
      <c r="AB441" s="1"/>
      <c r="AC441" s="558"/>
      <c r="AD441" s="558"/>
      <c r="AE441" s="1"/>
      <c r="AF441" s="1"/>
      <c r="AG441" s="1"/>
      <c r="AH441" s="559"/>
      <c r="AI441" s="1"/>
      <c r="AJ441" s="1"/>
      <c r="AK441" s="1"/>
      <c r="AL441" s="1"/>
      <c r="AM441" s="1"/>
      <c r="AN441" s="1"/>
      <c r="AO441" s="1"/>
      <c r="AP441" s="1"/>
    </row>
    <row r="442" spans="17:42" ht="62.25" customHeight="1">
      <c r="Q442" s="1"/>
      <c r="R442" s="1"/>
      <c r="S442" s="1"/>
      <c r="T442" s="1"/>
      <c r="U442" s="1"/>
      <c r="V442" s="1"/>
      <c r="W442" s="1"/>
      <c r="X442" s="1"/>
      <c r="Y442" s="1"/>
      <c r="Z442" s="1"/>
      <c r="AB442" s="1"/>
      <c r="AC442" s="558"/>
      <c r="AD442" s="558"/>
      <c r="AE442" s="1"/>
      <c r="AF442" s="1"/>
      <c r="AG442" s="1"/>
      <c r="AH442" s="559"/>
      <c r="AI442" s="1"/>
      <c r="AJ442" s="1"/>
      <c r="AK442" s="1"/>
      <c r="AL442" s="1"/>
      <c r="AM442" s="1"/>
      <c r="AN442" s="1"/>
      <c r="AO442" s="1"/>
      <c r="AP442" s="1"/>
    </row>
    <row r="443" spans="17:42" ht="62.25" customHeight="1">
      <c r="Q443" s="1"/>
      <c r="R443" s="1"/>
      <c r="S443" s="1"/>
      <c r="T443" s="1"/>
      <c r="U443" s="1"/>
      <c r="V443" s="1"/>
      <c r="W443" s="1"/>
      <c r="X443" s="1"/>
      <c r="Y443" s="1"/>
      <c r="Z443" s="1"/>
      <c r="AB443" s="1"/>
      <c r="AC443" s="558"/>
      <c r="AD443" s="558"/>
      <c r="AE443" s="1"/>
      <c r="AF443" s="1"/>
      <c r="AG443" s="1"/>
      <c r="AH443" s="559"/>
      <c r="AI443" s="1"/>
      <c r="AJ443" s="1"/>
      <c r="AK443" s="1"/>
      <c r="AL443" s="1"/>
      <c r="AM443" s="1"/>
      <c r="AN443" s="1"/>
      <c r="AO443" s="1"/>
      <c r="AP443" s="1"/>
    </row>
    <row r="444" spans="17:42" ht="62.25" customHeight="1">
      <c r="Q444" s="1"/>
      <c r="R444" s="1"/>
      <c r="S444" s="1"/>
      <c r="T444" s="1"/>
      <c r="U444" s="1"/>
      <c r="V444" s="1"/>
      <c r="W444" s="1"/>
      <c r="X444" s="1"/>
      <c r="Y444" s="1"/>
      <c r="Z444" s="1"/>
      <c r="AB444" s="1"/>
      <c r="AC444" s="558"/>
      <c r="AD444" s="558"/>
      <c r="AE444" s="1"/>
      <c r="AF444" s="1"/>
      <c r="AG444" s="1"/>
      <c r="AH444" s="559"/>
      <c r="AI444" s="1"/>
      <c r="AJ444" s="1"/>
      <c r="AK444" s="1"/>
      <c r="AL444" s="1"/>
      <c r="AM444" s="1"/>
      <c r="AN444" s="1"/>
      <c r="AO444" s="1"/>
      <c r="AP444" s="1"/>
    </row>
    <row r="445" spans="17:42" ht="62.25" customHeight="1">
      <c r="Q445" s="1"/>
      <c r="R445" s="1"/>
      <c r="S445" s="1"/>
      <c r="T445" s="1"/>
      <c r="U445" s="1"/>
      <c r="V445" s="1"/>
      <c r="W445" s="1"/>
      <c r="X445" s="1"/>
      <c r="Y445" s="1"/>
      <c r="Z445" s="1"/>
      <c r="AB445" s="1"/>
      <c r="AC445" s="558"/>
      <c r="AD445" s="558"/>
      <c r="AE445" s="1"/>
      <c r="AF445" s="1"/>
      <c r="AG445" s="1"/>
      <c r="AH445" s="559"/>
      <c r="AI445" s="1"/>
      <c r="AJ445" s="1"/>
      <c r="AK445" s="1"/>
      <c r="AL445" s="1"/>
      <c r="AM445" s="1"/>
      <c r="AN445" s="1"/>
      <c r="AO445" s="1"/>
      <c r="AP445" s="1"/>
    </row>
    <row r="446" spans="17:42" ht="62.25" customHeight="1">
      <c r="Q446" s="1"/>
      <c r="R446" s="1"/>
      <c r="S446" s="1"/>
      <c r="T446" s="1"/>
      <c r="U446" s="1"/>
      <c r="V446" s="1"/>
      <c r="W446" s="1"/>
      <c r="X446" s="1"/>
      <c r="Y446" s="1"/>
      <c r="Z446" s="1"/>
      <c r="AB446" s="1"/>
      <c r="AC446" s="558"/>
      <c r="AD446" s="558"/>
      <c r="AE446" s="1"/>
      <c r="AF446" s="1"/>
      <c r="AG446" s="1"/>
      <c r="AH446" s="559"/>
      <c r="AI446" s="1"/>
      <c r="AJ446" s="1"/>
      <c r="AK446" s="1"/>
      <c r="AL446" s="1"/>
      <c r="AM446" s="1"/>
      <c r="AN446" s="1"/>
      <c r="AO446" s="1"/>
      <c r="AP446" s="1"/>
    </row>
    <row r="447" spans="17:42" ht="62.25" customHeight="1">
      <c r="Q447" s="1"/>
      <c r="R447" s="1"/>
      <c r="S447" s="1"/>
      <c r="T447" s="1"/>
      <c r="U447" s="1"/>
      <c r="V447" s="1"/>
      <c r="W447" s="1"/>
      <c r="X447" s="1"/>
      <c r="Y447" s="1"/>
      <c r="Z447" s="1"/>
      <c r="AB447" s="1"/>
      <c r="AC447" s="558"/>
      <c r="AD447" s="558"/>
      <c r="AE447" s="1"/>
      <c r="AF447" s="1"/>
      <c r="AG447" s="1"/>
      <c r="AH447" s="559"/>
      <c r="AI447" s="1"/>
      <c r="AJ447" s="1"/>
      <c r="AK447" s="1"/>
      <c r="AL447" s="1"/>
      <c r="AM447" s="1"/>
      <c r="AN447" s="1"/>
      <c r="AO447" s="1"/>
      <c r="AP447" s="1"/>
    </row>
    <row r="448" spans="17:42" ht="62.25" customHeight="1">
      <c r="Q448" s="1"/>
      <c r="R448" s="1"/>
      <c r="S448" s="1"/>
      <c r="T448" s="1"/>
      <c r="U448" s="1"/>
      <c r="V448" s="1"/>
      <c r="W448" s="1"/>
      <c r="X448" s="1"/>
      <c r="Y448" s="1"/>
      <c r="Z448" s="1"/>
      <c r="AB448" s="1"/>
      <c r="AC448" s="558"/>
      <c r="AD448" s="558"/>
      <c r="AE448" s="1"/>
      <c r="AF448" s="1"/>
      <c r="AG448" s="1"/>
      <c r="AH448" s="559"/>
      <c r="AI448" s="1"/>
      <c r="AJ448" s="1"/>
      <c r="AK448" s="1"/>
      <c r="AL448" s="1"/>
      <c r="AM448" s="1"/>
      <c r="AN448" s="1"/>
      <c r="AO448" s="1"/>
      <c r="AP448" s="1"/>
    </row>
    <row r="449" spans="17:42" ht="62.25" customHeight="1">
      <c r="Q449" s="1"/>
      <c r="R449" s="1"/>
      <c r="S449" s="1"/>
      <c r="T449" s="1"/>
      <c r="U449" s="1"/>
      <c r="V449" s="1"/>
      <c r="W449" s="1"/>
      <c r="X449" s="1"/>
      <c r="Y449" s="1"/>
      <c r="Z449" s="1"/>
      <c r="AB449" s="1"/>
      <c r="AC449" s="558"/>
      <c r="AD449" s="558"/>
      <c r="AE449" s="1"/>
      <c r="AF449" s="1"/>
      <c r="AG449" s="1"/>
      <c r="AH449" s="559"/>
      <c r="AI449" s="1"/>
      <c r="AJ449" s="1"/>
      <c r="AK449" s="1"/>
      <c r="AL449" s="1"/>
      <c r="AM449" s="1"/>
      <c r="AN449" s="1"/>
      <c r="AO449" s="1"/>
      <c r="AP449" s="1"/>
    </row>
    <row r="450" spans="17:42" ht="62.25" customHeight="1">
      <c r="Q450" s="1"/>
      <c r="R450" s="1"/>
      <c r="S450" s="1"/>
      <c r="T450" s="1"/>
      <c r="U450" s="1"/>
      <c r="V450" s="1"/>
      <c r="W450" s="1"/>
      <c r="X450" s="1"/>
      <c r="Y450" s="1"/>
      <c r="Z450" s="1"/>
      <c r="AB450" s="1"/>
      <c r="AC450" s="558"/>
      <c r="AD450" s="558"/>
      <c r="AE450" s="1"/>
      <c r="AF450" s="1"/>
      <c r="AG450" s="1"/>
      <c r="AH450" s="559"/>
      <c r="AI450" s="1"/>
      <c r="AJ450" s="1"/>
      <c r="AK450" s="1"/>
      <c r="AL450" s="1"/>
      <c r="AM450" s="1"/>
      <c r="AN450" s="1"/>
      <c r="AO450" s="1"/>
      <c r="AP450" s="1"/>
    </row>
    <row r="451" spans="17:42" ht="62.25" customHeight="1">
      <c r="Q451" s="1"/>
      <c r="R451" s="1"/>
      <c r="S451" s="1"/>
      <c r="T451" s="1"/>
      <c r="U451" s="1"/>
      <c r="V451" s="1"/>
      <c r="W451" s="1"/>
      <c r="X451" s="1"/>
      <c r="Y451" s="1"/>
      <c r="Z451" s="1"/>
      <c r="AB451" s="1"/>
      <c r="AC451" s="558"/>
      <c r="AD451" s="558"/>
      <c r="AE451" s="1"/>
      <c r="AF451" s="1"/>
      <c r="AG451" s="1"/>
      <c r="AH451" s="559"/>
      <c r="AI451" s="1"/>
      <c r="AJ451" s="1"/>
      <c r="AK451" s="1"/>
      <c r="AL451" s="1"/>
      <c r="AM451" s="1"/>
      <c r="AN451" s="1"/>
      <c r="AO451" s="1"/>
      <c r="AP451" s="1"/>
    </row>
    <row r="452" spans="17:42" ht="62.25" customHeight="1">
      <c r="Q452" s="1"/>
      <c r="R452" s="1"/>
      <c r="S452" s="1"/>
      <c r="T452" s="1"/>
      <c r="U452" s="1"/>
      <c r="V452" s="1"/>
      <c r="W452" s="1"/>
      <c r="X452" s="1"/>
      <c r="Y452" s="1"/>
      <c r="Z452" s="1"/>
      <c r="AB452" s="1"/>
      <c r="AC452" s="558"/>
      <c r="AD452" s="558"/>
      <c r="AE452" s="1"/>
      <c r="AF452" s="1"/>
      <c r="AG452" s="1"/>
      <c r="AH452" s="559"/>
      <c r="AI452" s="1"/>
      <c r="AJ452" s="1"/>
      <c r="AK452" s="1"/>
      <c r="AL452" s="1"/>
      <c r="AM452" s="1"/>
      <c r="AN452" s="1"/>
      <c r="AO452" s="1"/>
      <c r="AP452" s="1"/>
    </row>
    <row r="453" spans="17:42" ht="62.25" customHeight="1">
      <c r="Q453" s="1"/>
      <c r="R453" s="1"/>
      <c r="S453" s="1"/>
      <c r="T453" s="1"/>
      <c r="U453" s="1"/>
      <c r="V453" s="1"/>
      <c r="W453" s="1"/>
      <c r="X453" s="1"/>
      <c r="Y453" s="1"/>
      <c r="Z453" s="1"/>
      <c r="AB453" s="1"/>
      <c r="AC453" s="558"/>
      <c r="AD453" s="558"/>
      <c r="AE453" s="1"/>
      <c r="AF453" s="1"/>
      <c r="AG453" s="1"/>
      <c r="AH453" s="559"/>
      <c r="AI453" s="1"/>
      <c r="AJ453" s="1"/>
      <c r="AK453" s="1"/>
      <c r="AL453" s="1"/>
      <c r="AM453" s="1"/>
      <c r="AN453" s="1"/>
      <c r="AO453" s="1"/>
      <c r="AP453" s="1"/>
    </row>
    <row r="454" spans="17:42" ht="62.25" customHeight="1">
      <c r="Q454" s="1"/>
      <c r="R454" s="1"/>
      <c r="S454" s="1"/>
      <c r="T454" s="1"/>
      <c r="U454" s="1"/>
      <c r="V454" s="1"/>
      <c r="W454" s="1"/>
      <c r="X454" s="1"/>
      <c r="Y454" s="1"/>
      <c r="Z454" s="1"/>
      <c r="AB454" s="1"/>
      <c r="AC454" s="558"/>
      <c r="AD454" s="558"/>
      <c r="AE454" s="1"/>
      <c r="AF454" s="1"/>
      <c r="AG454" s="1"/>
      <c r="AH454" s="559"/>
      <c r="AI454" s="1"/>
      <c r="AJ454" s="1"/>
      <c r="AK454" s="1"/>
      <c r="AL454" s="1"/>
      <c r="AM454" s="1"/>
      <c r="AN454" s="1"/>
      <c r="AO454" s="1"/>
      <c r="AP454" s="1"/>
    </row>
    <row r="455" spans="17:42" ht="62.25" customHeight="1">
      <c r="Q455" s="1"/>
      <c r="R455" s="1"/>
      <c r="S455" s="1"/>
      <c r="T455" s="1"/>
      <c r="U455" s="1"/>
      <c r="V455" s="1"/>
      <c r="W455" s="1"/>
      <c r="X455" s="1"/>
      <c r="Y455" s="1"/>
      <c r="Z455" s="1"/>
      <c r="AB455" s="1"/>
      <c r="AC455" s="558"/>
      <c r="AD455" s="558"/>
      <c r="AE455" s="1"/>
      <c r="AF455" s="1"/>
      <c r="AG455" s="1"/>
      <c r="AH455" s="559"/>
      <c r="AI455" s="1"/>
      <c r="AJ455" s="1"/>
      <c r="AK455" s="1"/>
      <c r="AL455" s="1"/>
      <c r="AM455" s="1"/>
      <c r="AN455" s="1"/>
      <c r="AO455" s="1"/>
      <c r="AP455" s="1"/>
    </row>
    <row r="456" spans="17:42" ht="62.25" customHeight="1">
      <c r="Q456" s="1"/>
      <c r="R456" s="1"/>
      <c r="S456" s="1"/>
      <c r="T456" s="1"/>
      <c r="U456" s="1"/>
      <c r="V456" s="1"/>
      <c r="W456" s="1"/>
      <c r="X456" s="1"/>
      <c r="Y456" s="1"/>
      <c r="Z456" s="1"/>
      <c r="AB456" s="1"/>
      <c r="AC456" s="558"/>
      <c r="AD456" s="558"/>
      <c r="AE456" s="1"/>
      <c r="AF456" s="1"/>
      <c r="AG456" s="1"/>
      <c r="AH456" s="559"/>
      <c r="AI456" s="1"/>
      <c r="AJ456" s="1"/>
      <c r="AK456" s="1"/>
      <c r="AL456" s="1"/>
      <c r="AM456" s="1"/>
      <c r="AN456" s="1"/>
      <c r="AO456" s="1"/>
      <c r="AP456" s="1"/>
    </row>
    <row r="457" spans="17:42" ht="62.25" customHeight="1">
      <c r="Q457" s="1"/>
      <c r="R457" s="1"/>
      <c r="S457" s="1"/>
      <c r="T457" s="1"/>
      <c r="U457" s="1"/>
      <c r="V457" s="1"/>
      <c r="W457" s="1"/>
      <c r="X457" s="1"/>
      <c r="Y457" s="1"/>
      <c r="Z457" s="1"/>
      <c r="AB457" s="1"/>
      <c r="AC457" s="558"/>
      <c r="AD457" s="558"/>
      <c r="AE457" s="1"/>
      <c r="AF457" s="1"/>
      <c r="AG457" s="1"/>
      <c r="AH457" s="559"/>
      <c r="AI457" s="1"/>
      <c r="AJ457" s="1"/>
      <c r="AK457" s="1"/>
      <c r="AL457" s="1"/>
      <c r="AM457" s="1"/>
      <c r="AN457" s="1"/>
      <c r="AO457" s="1"/>
      <c r="AP457" s="1"/>
    </row>
    <row r="458" spans="17:42" ht="62.25" customHeight="1">
      <c r="Q458" s="1"/>
      <c r="R458" s="1"/>
      <c r="S458" s="1"/>
      <c r="T458" s="1"/>
      <c r="U458" s="1"/>
      <c r="V458" s="1"/>
      <c r="W458" s="1"/>
      <c r="X458" s="1"/>
      <c r="Y458" s="1"/>
      <c r="Z458" s="1"/>
      <c r="AB458" s="1"/>
      <c r="AC458" s="558"/>
      <c r="AD458" s="558"/>
      <c r="AE458" s="1"/>
      <c r="AF458" s="1"/>
      <c r="AG458" s="1"/>
      <c r="AH458" s="559"/>
      <c r="AI458" s="1"/>
      <c r="AJ458" s="1"/>
      <c r="AK458" s="1"/>
      <c r="AL458" s="1"/>
      <c r="AM458" s="1"/>
      <c r="AN458" s="1"/>
      <c r="AO458" s="1"/>
      <c r="AP458" s="1"/>
    </row>
    <row r="459" spans="17:42" ht="62.25" customHeight="1">
      <c r="Q459" s="1"/>
      <c r="R459" s="1"/>
      <c r="S459" s="1"/>
      <c r="T459" s="1"/>
      <c r="U459" s="1"/>
      <c r="V459" s="1"/>
      <c r="W459" s="1"/>
      <c r="X459" s="1"/>
      <c r="Y459" s="1"/>
      <c r="Z459" s="1"/>
      <c r="AB459" s="1"/>
      <c r="AC459" s="558"/>
      <c r="AD459" s="558"/>
      <c r="AE459" s="1"/>
      <c r="AF459" s="1"/>
      <c r="AG459" s="1"/>
      <c r="AH459" s="559"/>
      <c r="AI459" s="1"/>
      <c r="AJ459" s="1"/>
      <c r="AK459" s="1"/>
      <c r="AL459" s="1"/>
      <c r="AM459" s="1"/>
      <c r="AN459" s="1"/>
      <c r="AO459" s="1"/>
      <c r="AP459" s="1"/>
    </row>
    <row r="460" spans="17:42" ht="62.25" customHeight="1">
      <c r="Q460" s="1"/>
      <c r="R460" s="1"/>
      <c r="S460" s="1"/>
      <c r="T460" s="1"/>
      <c r="U460" s="1"/>
      <c r="V460" s="1"/>
      <c r="W460" s="1"/>
      <c r="X460" s="1"/>
      <c r="Y460" s="1"/>
      <c r="Z460" s="1"/>
      <c r="AB460" s="1"/>
      <c r="AC460" s="558"/>
      <c r="AD460" s="558"/>
      <c r="AE460" s="1"/>
      <c r="AF460" s="1"/>
      <c r="AG460" s="1"/>
      <c r="AH460" s="559"/>
      <c r="AI460" s="1"/>
      <c r="AJ460" s="1"/>
      <c r="AK460" s="1"/>
      <c r="AL460" s="1"/>
      <c r="AM460" s="1"/>
      <c r="AN460" s="1"/>
      <c r="AO460" s="1"/>
      <c r="AP460" s="1"/>
    </row>
    <row r="461" spans="17:42" ht="62.25" customHeight="1">
      <c r="Q461" s="1"/>
      <c r="R461" s="1"/>
      <c r="S461" s="1"/>
      <c r="T461" s="1"/>
      <c r="U461" s="1"/>
      <c r="V461" s="1"/>
      <c r="W461" s="1"/>
      <c r="X461" s="1"/>
      <c r="Y461" s="1"/>
      <c r="Z461" s="1"/>
      <c r="AB461" s="1"/>
      <c r="AC461" s="558"/>
      <c r="AD461" s="558"/>
      <c r="AE461" s="1"/>
      <c r="AF461" s="1"/>
      <c r="AG461" s="1"/>
      <c r="AH461" s="559"/>
      <c r="AI461" s="1"/>
      <c r="AJ461" s="1"/>
      <c r="AK461" s="1"/>
      <c r="AL461" s="1"/>
      <c r="AM461" s="1"/>
      <c r="AN461" s="1"/>
      <c r="AO461" s="1"/>
      <c r="AP461" s="1"/>
    </row>
    <row r="462" spans="17:42" ht="62.25" customHeight="1">
      <c r="Q462" s="1"/>
      <c r="R462" s="1"/>
      <c r="S462" s="1"/>
      <c r="T462" s="1"/>
      <c r="U462" s="1"/>
      <c r="V462" s="1"/>
      <c r="W462" s="1"/>
      <c r="X462" s="1"/>
      <c r="Y462" s="1"/>
      <c r="Z462" s="1"/>
      <c r="AB462" s="1"/>
      <c r="AC462" s="558"/>
      <c r="AD462" s="558"/>
      <c r="AE462" s="1"/>
      <c r="AF462" s="1"/>
      <c r="AG462" s="1"/>
      <c r="AH462" s="559"/>
      <c r="AI462" s="1"/>
      <c r="AJ462" s="1"/>
      <c r="AK462" s="1"/>
      <c r="AL462" s="1"/>
      <c r="AM462" s="1"/>
      <c r="AN462" s="1"/>
      <c r="AO462" s="1"/>
      <c r="AP462" s="1"/>
    </row>
    <row r="463" spans="17:42" ht="62.25" customHeight="1">
      <c r="Q463" s="1"/>
      <c r="R463" s="1"/>
      <c r="S463" s="1"/>
      <c r="T463" s="1"/>
      <c r="U463" s="1"/>
      <c r="V463" s="1"/>
      <c r="W463" s="1"/>
      <c r="X463" s="1"/>
      <c r="Y463" s="1"/>
      <c r="Z463" s="1"/>
      <c r="AB463" s="1"/>
      <c r="AC463" s="558"/>
      <c r="AD463" s="558"/>
      <c r="AE463" s="1"/>
      <c r="AF463" s="1"/>
      <c r="AG463" s="1"/>
      <c r="AH463" s="559"/>
      <c r="AI463" s="1"/>
      <c r="AJ463" s="1"/>
      <c r="AK463" s="1"/>
      <c r="AL463" s="1"/>
      <c r="AM463" s="1"/>
      <c r="AN463" s="1"/>
      <c r="AO463" s="1"/>
      <c r="AP463" s="1"/>
    </row>
    <row r="464" spans="17:42" ht="62.25" customHeight="1">
      <c r="Q464" s="1"/>
      <c r="R464" s="1"/>
      <c r="S464" s="1"/>
      <c r="T464" s="1"/>
      <c r="U464" s="1"/>
      <c r="V464" s="1"/>
      <c r="W464" s="1"/>
      <c r="X464" s="1"/>
      <c r="Y464" s="1"/>
      <c r="Z464" s="1"/>
      <c r="AB464" s="1"/>
      <c r="AC464" s="558"/>
      <c r="AD464" s="558"/>
      <c r="AE464" s="1"/>
      <c r="AF464" s="1"/>
      <c r="AG464" s="1"/>
      <c r="AH464" s="559"/>
      <c r="AI464" s="1"/>
      <c r="AJ464" s="1"/>
      <c r="AK464" s="1"/>
      <c r="AL464" s="1"/>
      <c r="AM464" s="1"/>
      <c r="AN464" s="1"/>
      <c r="AO464" s="1"/>
      <c r="AP464" s="1"/>
    </row>
    <row r="465" spans="17:42" ht="62.25" customHeight="1">
      <c r="Q465" s="1"/>
      <c r="R465" s="1"/>
      <c r="S465" s="1"/>
      <c r="T465" s="1"/>
      <c r="U465" s="1"/>
      <c r="V465" s="1"/>
      <c r="W465" s="1"/>
      <c r="X465" s="1"/>
      <c r="Y465" s="1"/>
      <c r="Z465" s="1"/>
      <c r="AB465" s="1"/>
      <c r="AC465" s="558"/>
      <c r="AD465" s="558"/>
      <c r="AE465" s="1"/>
      <c r="AF465" s="1"/>
      <c r="AG465" s="1"/>
      <c r="AH465" s="559"/>
      <c r="AI465" s="1"/>
      <c r="AJ465" s="1"/>
      <c r="AK465" s="1"/>
      <c r="AL465" s="1"/>
      <c r="AM465" s="1"/>
      <c r="AN465" s="1"/>
      <c r="AO465" s="1"/>
      <c r="AP465" s="1"/>
    </row>
    <row r="466" spans="17:42" ht="62.25" customHeight="1">
      <c r="Q466" s="1"/>
      <c r="R466" s="1"/>
      <c r="S466" s="1"/>
      <c r="T466" s="1"/>
      <c r="U466" s="1"/>
      <c r="V466" s="1"/>
      <c r="W466" s="1"/>
      <c r="X466" s="1"/>
      <c r="Y466" s="1"/>
      <c r="Z466" s="1"/>
      <c r="AB466" s="1"/>
      <c r="AC466" s="558"/>
      <c r="AD466" s="558"/>
      <c r="AE466" s="1"/>
      <c r="AF466" s="1"/>
      <c r="AG466" s="1"/>
      <c r="AH466" s="559"/>
      <c r="AI466" s="1"/>
      <c r="AJ466" s="1"/>
      <c r="AK466" s="1"/>
      <c r="AL466" s="1"/>
      <c r="AM466" s="1"/>
      <c r="AN466" s="1"/>
      <c r="AO466" s="1"/>
      <c r="AP466" s="1"/>
    </row>
    <row r="467" spans="17:42" ht="62.25" customHeight="1">
      <c r="Q467" s="1"/>
      <c r="R467" s="1"/>
      <c r="S467" s="1"/>
      <c r="T467" s="1"/>
      <c r="U467" s="1"/>
      <c r="V467" s="1"/>
      <c r="W467" s="1"/>
      <c r="X467" s="1"/>
      <c r="Y467" s="1"/>
      <c r="Z467" s="1"/>
      <c r="AB467" s="1"/>
      <c r="AC467" s="558"/>
      <c r="AD467" s="558"/>
      <c r="AE467" s="1"/>
      <c r="AF467" s="1"/>
      <c r="AG467" s="1"/>
      <c r="AH467" s="559"/>
      <c r="AI467" s="1"/>
      <c r="AJ467" s="1"/>
      <c r="AK467" s="1"/>
      <c r="AL467" s="1"/>
      <c r="AM467" s="1"/>
      <c r="AN467" s="1"/>
      <c r="AO467" s="1"/>
      <c r="AP467" s="1"/>
    </row>
    <row r="468" spans="17:42" ht="62.25" customHeight="1">
      <c r="Q468" s="1"/>
      <c r="R468" s="1"/>
      <c r="S468" s="1"/>
      <c r="T468" s="1"/>
      <c r="U468" s="1"/>
      <c r="V468" s="1"/>
      <c r="W468" s="1"/>
      <c r="X468" s="1"/>
      <c r="Y468" s="1"/>
      <c r="Z468" s="1"/>
      <c r="AB468" s="1"/>
      <c r="AC468" s="558"/>
      <c r="AD468" s="558"/>
      <c r="AE468" s="1"/>
      <c r="AF468" s="1"/>
      <c r="AG468" s="1"/>
      <c r="AH468" s="559"/>
      <c r="AI468" s="1"/>
      <c r="AJ468" s="1"/>
      <c r="AK468" s="1"/>
      <c r="AL468" s="1"/>
      <c r="AM468" s="1"/>
      <c r="AN468" s="1"/>
      <c r="AO468" s="1"/>
      <c r="AP468" s="1"/>
    </row>
    <row r="469" spans="17:42" ht="62.25" customHeight="1">
      <c r="Q469" s="1"/>
      <c r="R469" s="1"/>
      <c r="S469" s="1"/>
      <c r="T469" s="1"/>
      <c r="U469" s="1"/>
      <c r="V469" s="1"/>
      <c r="W469" s="1"/>
      <c r="X469" s="1"/>
      <c r="Y469" s="1"/>
      <c r="Z469" s="1"/>
      <c r="AB469" s="1"/>
      <c r="AC469" s="558"/>
      <c r="AD469" s="558"/>
      <c r="AE469" s="1"/>
      <c r="AF469" s="1"/>
      <c r="AG469" s="1"/>
      <c r="AH469" s="559"/>
      <c r="AI469" s="1"/>
      <c r="AJ469" s="1"/>
      <c r="AK469" s="1"/>
      <c r="AL469" s="1"/>
      <c r="AM469" s="1"/>
      <c r="AN469" s="1"/>
      <c r="AO469" s="1"/>
      <c r="AP469" s="1"/>
    </row>
    <row r="470" spans="17:42" ht="62.25" customHeight="1">
      <c r="Q470" s="1"/>
      <c r="R470" s="1"/>
      <c r="S470" s="1"/>
      <c r="T470" s="1"/>
      <c r="U470" s="1"/>
      <c r="V470" s="1"/>
      <c r="W470" s="1"/>
      <c r="X470" s="1"/>
      <c r="Y470" s="1"/>
      <c r="Z470" s="1"/>
      <c r="AB470" s="1"/>
      <c r="AC470" s="558"/>
      <c r="AD470" s="558"/>
      <c r="AE470" s="1"/>
      <c r="AF470" s="1"/>
      <c r="AG470" s="1"/>
      <c r="AH470" s="559"/>
      <c r="AI470" s="1"/>
      <c r="AJ470" s="1"/>
      <c r="AK470" s="1"/>
      <c r="AL470" s="1"/>
      <c r="AM470" s="1"/>
      <c r="AN470" s="1"/>
      <c r="AO470" s="1"/>
      <c r="AP470" s="1"/>
    </row>
    <row r="471" spans="17:42" ht="62.25" customHeight="1">
      <c r="Q471" s="1"/>
      <c r="R471" s="1"/>
      <c r="S471" s="1"/>
      <c r="T471" s="1"/>
      <c r="U471" s="1"/>
      <c r="V471" s="1"/>
      <c r="W471" s="1"/>
      <c r="X471" s="1"/>
      <c r="Y471" s="1"/>
      <c r="Z471" s="1"/>
      <c r="AB471" s="1"/>
      <c r="AC471" s="558"/>
      <c r="AD471" s="558"/>
      <c r="AE471" s="1"/>
      <c r="AF471" s="1"/>
      <c r="AG471" s="1"/>
      <c r="AH471" s="559"/>
      <c r="AI471" s="1"/>
      <c r="AJ471" s="1"/>
      <c r="AK471" s="1"/>
      <c r="AL471" s="1"/>
      <c r="AM471" s="1"/>
      <c r="AN471" s="1"/>
      <c r="AO471" s="1"/>
      <c r="AP471" s="1"/>
    </row>
    <row r="472" spans="17:42" ht="62.25" customHeight="1">
      <c r="Q472" s="1"/>
      <c r="R472" s="1"/>
      <c r="S472" s="1"/>
      <c r="T472" s="1"/>
      <c r="U472" s="1"/>
      <c r="V472" s="1"/>
      <c r="W472" s="1"/>
      <c r="X472" s="1"/>
      <c r="Y472" s="1"/>
      <c r="Z472" s="1"/>
      <c r="AB472" s="1"/>
      <c r="AC472" s="558"/>
      <c r="AD472" s="558"/>
      <c r="AE472" s="1"/>
      <c r="AF472" s="1"/>
      <c r="AG472" s="1"/>
      <c r="AH472" s="559"/>
      <c r="AI472" s="1"/>
      <c r="AJ472" s="1"/>
      <c r="AK472" s="1"/>
      <c r="AL472" s="1"/>
      <c r="AM472" s="1"/>
      <c r="AN472" s="1"/>
      <c r="AO472" s="1"/>
      <c r="AP472" s="1"/>
    </row>
    <row r="473" spans="17:42" ht="62.25" customHeight="1">
      <c r="Q473" s="1"/>
      <c r="R473" s="1"/>
      <c r="S473" s="1"/>
      <c r="T473" s="1"/>
      <c r="U473" s="1"/>
      <c r="V473" s="1"/>
      <c r="W473" s="1"/>
      <c r="X473" s="1"/>
      <c r="Y473" s="1"/>
      <c r="Z473" s="1"/>
      <c r="AB473" s="1"/>
      <c r="AC473" s="558"/>
      <c r="AD473" s="558"/>
      <c r="AE473" s="1"/>
      <c r="AF473" s="1"/>
      <c r="AG473" s="1"/>
      <c r="AH473" s="559"/>
      <c r="AI473" s="1"/>
      <c r="AJ473" s="1"/>
      <c r="AK473" s="1"/>
      <c r="AL473" s="1"/>
      <c r="AM473" s="1"/>
      <c r="AN473" s="1"/>
      <c r="AO473" s="1"/>
      <c r="AP473" s="1"/>
    </row>
    <row r="474" spans="17:42" ht="62.25" customHeight="1">
      <c r="Q474" s="1"/>
      <c r="R474" s="1"/>
      <c r="S474" s="1"/>
      <c r="T474" s="1"/>
      <c r="U474" s="1"/>
      <c r="V474" s="1"/>
      <c r="W474" s="1"/>
      <c r="X474" s="1"/>
      <c r="Y474" s="1"/>
      <c r="Z474" s="1"/>
      <c r="AB474" s="1"/>
      <c r="AC474" s="558"/>
      <c r="AD474" s="558"/>
      <c r="AE474" s="1"/>
      <c r="AF474" s="1"/>
      <c r="AG474" s="1"/>
      <c r="AH474" s="559"/>
      <c r="AI474" s="1"/>
      <c r="AJ474" s="1"/>
      <c r="AK474" s="1"/>
      <c r="AL474" s="1"/>
      <c r="AM474" s="1"/>
      <c r="AN474" s="1"/>
      <c r="AO474" s="1"/>
      <c r="AP474" s="1"/>
    </row>
    <row r="475" spans="17:42" ht="62.25" customHeight="1">
      <c r="Q475" s="1"/>
      <c r="R475" s="1"/>
      <c r="S475" s="1"/>
      <c r="T475" s="1"/>
      <c r="U475" s="1"/>
      <c r="V475" s="1"/>
      <c r="W475" s="1"/>
      <c r="X475" s="1"/>
      <c r="Y475" s="1"/>
      <c r="Z475" s="1"/>
      <c r="AB475" s="1"/>
      <c r="AC475" s="558"/>
      <c r="AD475" s="558"/>
      <c r="AE475" s="1"/>
      <c r="AF475" s="1"/>
      <c r="AG475" s="1"/>
      <c r="AH475" s="559"/>
      <c r="AI475" s="1"/>
      <c r="AJ475" s="1"/>
      <c r="AK475" s="1"/>
      <c r="AL475" s="1"/>
      <c r="AM475" s="1"/>
      <c r="AN475" s="1"/>
      <c r="AO475" s="1"/>
      <c r="AP475" s="1"/>
    </row>
    <row r="476" spans="17:42" ht="62.25" customHeight="1">
      <c r="Q476" s="1"/>
      <c r="R476" s="1"/>
      <c r="S476" s="1"/>
      <c r="T476" s="1"/>
      <c r="U476" s="1"/>
      <c r="V476" s="1"/>
      <c r="W476" s="1"/>
      <c r="X476" s="1"/>
      <c r="Y476" s="1"/>
      <c r="Z476" s="1"/>
      <c r="AB476" s="1"/>
      <c r="AC476" s="558"/>
      <c r="AD476" s="558"/>
      <c r="AE476" s="1"/>
      <c r="AF476" s="1"/>
      <c r="AG476" s="1"/>
      <c r="AH476" s="559"/>
      <c r="AI476" s="1"/>
      <c r="AJ476" s="1"/>
      <c r="AK476" s="1"/>
      <c r="AL476" s="1"/>
      <c r="AM476" s="1"/>
      <c r="AN476" s="1"/>
      <c r="AO476" s="1"/>
      <c r="AP476" s="1"/>
    </row>
    <row r="477" spans="17:42" ht="62.25" customHeight="1">
      <c r="Q477" s="1"/>
      <c r="R477" s="1"/>
      <c r="S477" s="1"/>
      <c r="T477" s="1"/>
      <c r="U477" s="1"/>
      <c r="V477" s="1"/>
      <c r="W477" s="1"/>
      <c r="X477" s="1"/>
      <c r="Y477" s="1"/>
      <c r="Z477" s="1"/>
      <c r="AB477" s="1"/>
      <c r="AC477" s="558"/>
      <c r="AD477" s="558"/>
      <c r="AE477" s="1"/>
      <c r="AF477" s="1"/>
      <c r="AG477" s="1"/>
      <c r="AH477" s="559"/>
      <c r="AI477" s="1"/>
      <c r="AJ477" s="1"/>
      <c r="AK477" s="1"/>
      <c r="AL477" s="1"/>
      <c r="AM477" s="1"/>
      <c r="AN477" s="1"/>
      <c r="AO477" s="1"/>
      <c r="AP477" s="1"/>
    </row>
    <row r="478" spans="17:42" ht="62.25" customHeight="1">
      <c r="Q478" s="1"/>
      <c r="R478" s="1"/>
      <c r="S478" s="1"/>
      <c r="T478" s="1"/>
      <c r="U478" s="1"/>
      <c r="V478" s="1"/>
      <c r="W478" s="1"/>
      <c r="X478" s="1"/>
      <c r="Y478" s="1"/>
      <c r="Z478" s="1"/>
      <c r="AB478" s="1"/>
      <c r="AC478" s="558"/>
      <c r="AD478" s="558"/>
      <c r="AE478" s="1"/>
      <c r="AF478" s="1"/>
      <c r="AG478" s="1"/>
      <c r="AH478" s="559"/>
      <c r="AI478" s="1"/>
      <c r="AJ478" s="1"/>
      <c r="AK478" s="1"/>
      <c r="AL478" s="1"/>
      <c r="AM478" s="1"/>
      <c r="AN478" s="1"/>
      <c r="AO478" s="1"/>
      <c r="AP478" s="1"/>
    </row>
    <row r="479" spans="17:42" ht="62.25" customHeight="1">
      <c r="Q479" s="1"/>
      <c r="R479" s="1"/>
      <c r="S479" s="1"/>
      <c r="T479" s="1"/>
      <c r="U479" s="1"/>
      <c r="V479" s="1"/>
      <c r="W479" s="1"/>
      <c r="X479" s="1"/>
      <c r="Y479" s="1"/>
      <c r="Z479" s="1"/>
      <c r="AB479" s="1"/>
      <c r="AC479" s="558"/>
      <c r="AD479" s="558"/>
      <c r="AE479" s="1"/>
      <c r="AF479" s="1"/>
      <c r="AG479" s="1"/>
      <c r="AH479" s="559"/>
      <c r="AI479" s="1"/>
      <c r="AJ479" s="1"/>
      <c r="AK479" s="1"/>
      <c r="AL479" s="1"/>
      <c r="AM479" s="1"/>
      <c r="AN479" s="1"/>
      <c r="AO479" s="1"/>
      <c r="AP479" s="1"/>
    </row>
    <row r="480" spans="17:42" ht="62.25" customHeight="1">
      <c r="Q480" s="1"/>
      <c r="R480" s="1"/>
      <c r="S480" s="1"/>
      <c r="T480" s="1"/>
      <c r="U480" s="1"/>
      <c r="V480" s="1"/>
      <c r="W480" s="1"/>
      <c r="X480" s="1"/>
      <c r="Y480" s="1"/>
      <c r="Z480" s="1"/>
      <c r="AB480" s="1"/>
      <c r="AC480" s="558"/>
      <c r="AD480" s="558"/>
      <c r="AE480" s="1"/>
      <c r="AF480" s="1"/>
      <c r="AG480" s="1"/>
      <c r="AH480" s="559"/>
      <c r="AI480" s="1"/>
      <c r="AJ480" s="1"/>
      <c r="AK480" s="1"/>
      <c r="AL480" s="1"/>
      <c r="AM480" s="1"/>
      <c r="AN480" s="1"/>
      <c r="AO480" s="1"/>
      <c r="AP480" s="1"/>
    </row>
    <row r="481" spans="17:42" ht="62.25" customHeight="1">
      <c r="Q481" s="1"/>
      <c r="R481" s="1"/>
      <c r="S481" s="1"/>
      <c r="T481" s="1"/>
      <c r="U481" s="1"/>
      <c r="V481" s="1"/>
      <c r="W481" s="1"/>
      <c r="X481" s="1"/>
      <c r="Y481" s="1"/>
      <c r="Z481" s="1"/>
      <c r="AB481" s="1"/>
      <c r="AC481" s="558"/>
      <c r="AD481" s="558"/>
      <c r="AE481" s="1"/>
      <c r="AF481" s="1"/>
      <c r="AG481" s="1"/>
      <c r="AH481" s="559"/>
      <c r="AI481" s="1"/>
      <c r="AJ481" s="1"/>
      <c r="AK481" s="1"/>
      <c r="AL481" s="1"/>
      <c r="AM481" s="1"/>
      <c r="AN481" s="1"/>
      <c r="AO481" s="1"/>
      <c r="AP481" s="1"/>
    </row>
    <row r="482" spans="17:42" ht="62.25" customHeight="1">
      <c r="Q482" s="1"/>
      <c r="R482" s="1"/>
      <c r="S482" s="1"/>
      <c r="T482" s="1"/>
      <c r="U482" s="1"/>
      <c r="V482" s="1"/>
      <c r="W482" s="1"/>
      <c r="X482" s="1"/>
      <c r="Y482" s="1"/>
      <c r="Z482" s="1"/>
      <c r="AB482" s="1"/>
      <c r="AC482" s="558"/>
      <c r="AD482" s="558"/>
      <c r="AE482" s="1"/>
      <c r="AF482" s="1"/>
      <c r="AG482" s="1"/>
      <c r="AH482" s="559"/>
      <c r="AI482" s="1"/>
      <c r="AJ482" s="1"/>
      <c r="AK482" s="1"/>
      <c r="AL482" s="1"/>
      <c r="AM482" s="1"/>
      <c r="AN482" s="1"/>
      <c r="AO482" s="1"/>
      <c r="AP482" s="1"/>
    </row>
    <row r="483" spans="17:42" ht="62.25" customHeight="1">
      <c r="Q483" s="1"/>
      <c r="R483" s="1"/>
      <c r="S483" s="1"/>
      <c r="T483" s="1"/>
      <c r="U483" s="1"/>
      <c r="V483" s="1"/>
      <c r="W483" s="1"/>
      <c r="X483" s="1"/>
      <c r="Y483" s="1"/>
      <c r="Z483" s="1"/>
      <c r="AB483" s="1"/>
      <c r="AC483" s="558"/>
      <c r="AD483" s="558"/>
      <c r="AE483" s="1"/>
      <c r="AF483" s="1"/>
      <c r="AG483" s="1"/>
      <c r="AH483" s="559"/>
      <c r="AI483" s="1"/>
      <c r="AJ483" s="1"/>
      <c r="AK483" s="1"/>
      <c r="AL483" s="1"/>
      <c r="AM483" s="1"/>
      <c r="AN483" s="1"/>
      <c r="AO483" s="1"/>
      <c r="AP483" s="1"/>
    </row>
    <row r="484" spans="17:42" ht="62.25" customHeight="1">
      <c r="Q484" s="1"/>
      <c r="R484" s="1"/>
      <c r="S484" s="1"/>
      <c r="T484" s="1"/>
      <c r="U484" s="1"/>
      <c r="V484" s="1"/>
      <c r="W484" s="1"/>
      <c r="X484" s="1"/>
      <c r="Y484" s="1"/>
      <c r="Z484" s="1"/>
      <c r="AB484" s="1"/>
      <c r="AC484" s="558"/>
      <c r="AD484" s="558"/>
      <c r="AE484" s="1"/>
      <c r="AF484" s="1"/>
      <c r="AG484" s="1"/>
      <c r="AH484" s="559"/>
      <c r="AI484" s="1"/>
      <c r="AJ484" s="1"/>
      <c r="AK484" s="1"/>
      <c r="AL484" s="1"/>
      <c r="AM484" s="1"/>
      <c r="AN484" s="1"/>
      <c r="AO484" s="1"/>
      <c r="AP484" s="1"/>
    </row>
    <row r="485" spans="17:42" ht="62.25" customHeight="1">
      <c r="Q485" s="1"/>
      <c r="R485" s="1"/>
      <c r="S485" s="1"/>
      <c r="T485" s="1"/>
      <c r="U485" s="1"/>
      <c r="V485" s="1"/>
      <c r="W485" s="1"/>
      <c r="X485" s="1"/>
      <c r="Y485" s="1"/>
      <c r="Z485" s="1"/>
      <c r="AB485" s="1"/>
      <c r="AC485" s="558"/>
      <c r="AD485" s="558"/>
      <c r="AE485" s="1"/>
      <c r="AF485" s="1"/>
      <c r="AG485" s="1"/>
      <c r="AH485" s="559"/>
      <c r="AI485" s="1"/>
      <c r="AJ485" s="1"/>
      <c r="AK485" s="1"/>
      <c r="AL485" s="1"/>
      <c r="AM485" s="1"/>
      <c r="AN485" s="1"/>
      <c r="AO485" s="1"/>
      <c r="AP485" s="1"/>
    </row>
    <row r="486" spans="17:42" ht="62.25" customHeight="1">
      <c r="Q486" s="1"/>
      <c r="R486" s="1"/>
      <c r="S486" s="1"/>
      <c r="T486" s="1"/>
      <c r="U486" s="1"/>
      <c r="V486" s="1"/>
      <c r="W486" s="1"/>
      <c r="X486" s="1"/>
      <c r="Y486" s="1"/>
      <c r="Z486" s="1"/>
      <c r="AB486" s="1"/>
      <c r="AC486" s="558"/>
      <c r="AD486" s="558"/>
      <c r="AE486" s="1"/>
      <c r="AF486" s="1"/>
      <c r="AG486" s="1"/>
      <c r="AH486" s="559"/>
      <c r="AI486" s="1"/>
      <c r="AJ486" s="1"/>
      <c r="AK486" s="1"/>
      <c r="AL486" s="1"/>
      <c r="AM486" s="1"/>
      <c r="AN486" s="1"/>
      <c r="AO486" s="1"/>
      <c r="AP486" s="1"/>
    </row>
    <row r="487" spans="17:42" ht="62.25" customHeight="1">
      <c r="Q487" s="1"/>
      <c r="R487" s="1"/>
      <c r="S487" s="1"/>
      <c r="T487" s="1"/>
      <c r="U487" s="1"/>
      <c r="V487" s="1"/>
      <c r="W487" s="1"/>
      <c r="X487" s="1"/>
      <c r="Y487" s="1"/>
      <c r="Z487" s="1"/>
      <c r="AB487" s="1"/>
      <c r="AC487" s="558"/>
      <c r="AD487" s="558"/>
      <c r="AE487" s="1"/>
      <c r="AF487" s="1"/>
      <c r="AG487" s="1"/>
      <c r="AH487" s="559"/>
      <c r="AI487" s="1"/>
      <c r="AJ487" s="1"/>
      <c r="AK487" s="1"/>
      <c r="AL487" s="1"/>
      <c r="AM487" s="1"/>
      <c r="AN487" s="1"/>
      <c r="AO487" s="1"/>
      <c r="AP487" s="1"/>
    </row>
    <row r="488" spans="17:42" ht="62.25" customHeight="1">
      <c r="Q488" s="1"/>
      <c r="R488" s="1"/>
      <c r="S488" s="1"/>
      <c r="T488" s="1"/>
      <c r="U488" s="1"/>
      <c r="V488" s="1"/>
      <c r="W488" s="1"/>
      <c r="X488" s="1"/>
      <c r="Y488" s="1"/>
      <c r="Z488" s="1"/>
      <c r="AB488" s="1"/>
      <c r="AC488" s="558"/>
      <c r="AD488" s="558"/>
      <c r="AE488" s="1"/>
      <c r="AF488" s="1"/>
      <c r="AG488" s="1"/>
      <c r="AH488" s="559"/>
      <c r="AI488" s="1"/>
      <c r="AJ488" s="1"/>
      <c r="AK488" s="1"/>
      <c r="AL488" s="1"/>
      <c r="AM488" s="1"/>
      <c r="AN488" s="1"/>
      <c r="AO488" s="1"/>
      <c r="AP488" s="1"/>
    </row>
    <row r="489" spans="17:42" ht="62.25" customHeight="1">
      <c r="Q489" s="1"/>
      <c r="R489" s="1"/>
      <c r="S489" s="1"/>
      <c r="T489" s="1"/>
      <c r="U489" s="1"/>
      <c r="V489" s="1"/>
      <c r="W489" s="1"/>
      <c r="X489" s="1"/>
      <c r="Y489" s="1"/>
      <c r="Z489" s="1"/>
      <c r="AB489" s="1"/>
      <c r="AC489" s="558"/>
      <c r="AD489" s="558"/>
      <c r="AE489" s="1"/>
      <c r="AF489" s="1"/>
      <c r="AG489" s="1"/>
      <c r="AH489" s="559"/>
      <c r="AI489" s="1"/>
      <c r="AJ489" s="1"/>
      <c r="AK489" s="1"/>
      <c r="AL489" s="1"/>
      <c r="AM489" s="1"/>
      <c r="AN489" s="1"/>
      <c r="AO489" s="1"/>
      <c r="AP489" s="1"/>
    </row>
    <row r="490" spans="17:42" ht="62.25" customHeight="1">
      <c r="Q490" s="1"/>
      <c r="R490" s="1"/>
      <c r="S490" s="1"/>
      <c r="T490" s="1"/>
      <c r="U490" s="1"/>
      <c r="V490" s="1"/>
      <c r="W490" s="1"/>
      <c r="X490" s="1"/>
      <c r="Y490" s="1"/>
      <c r="Z490" s="1"/>
      <c r="AB490" s="1"/>
      <c r="AC490" s="558"/>
      <c r="AD490" s="558"/>
      <c r="AE490" s="1"/>
      <c r="AF490" s="1"/>
      <c r="AG490" s="1"/>
      <c r="AH490" s="559"/>
      <c r="AI490" s="1"/>
      <c r="AJ490" s="1"/>
      <c r="AK490" s="1"/>
      <c r="AL490" s="1"/>
      <c r="AM490" s="1"/>
      <c r="AN490" s="1"/>
      <c r="AO490" s="1"/>
      <c r="AP490" s="1"/>
    </row>
    <row r="491" spans="17:42" ht="62.25" customHeight="1">
      <c r="Q491" s="1"/>
      <c r="R491" s="1"/>
      <c r="S491" s="1"/>
      <c r="T491" s="1"/>
      <c r="U491" s="1"/>
      <c r="V491" s="1"/>
      <c r="W491" s="1"/>
      <c r="X491" s="1"/>
      <c r="Y491" s="1"/>
      <c r="Z491" s="1"/>
      <c r="AB491" s="1"/>
      <c r="AC491" s="558"/>
      <c r="AD491" s="558"/>
      <c r="AE491" s="1"/>
      <c r="AF491" s="1"/>
      <c r="AG491" s="1"/>
      <c r="AH491" s="559"/>
      <c r="AI491" s="1"/>
      <c r="AJ491" s="1"/>
      <c r="AK491" s="1"/>
      <c r="AL491" s="1"/>
      <c r="AM491" s="1"/>
      <c r="AN491" s="1"/>
      <c r="AO491" s="1"/>
      <c r="AP491" s="1"/>
    </row>
    <row r="492" spans="17:42" ht="62.25" customHeight="1">
      <c r="Q492" s="1"/>
      <c r="R492" s="1"/>
      <c r="S492" s="1"/>
      <c r="T492" s="1"/>
      <c r="U492" s="1"/>
      <c r="V492" s="1"/>
      <c r="W492" s="1"/>
      <c r="X492" s="1"/>
      <c r="Y492" s="1"/>
      <c r="Z492" s="1"/>
      <c r="AB492" s="1"/>
      <c r="AC492" s="558"/>
      <c r="AD492" s="558"/>
      <c r="AE492" s="1"/>
      <c r="AF492" s="1"/>
      <c r="AG492" s="1"/>
      <c r="AH492" s="559"/>
      <c r="AI492" s="1"/>
      <c r="AJ492" s="1"/>
      <c r="AK492" s="1"/>
      <c r="AL492" s="1"/>
      <c r="AM492" s="1"/>
      <c r="AN492" s="1"/>
      <c r="AO492" s="1"/>
      <c r="AP492" s="1"/>
    </row>
    <row r="493" spans="17:42" ht="62.25" customHeight="1">
      <c r="Q493" s="1"/>
      <c r="R493" s="1"/>
      <c r="S493" s="1"/>
      <c r="T493" s="1"/>
      <c r="U493" s="1"/>
      <c r="V493" s="1"/>
      <c r="W493" s="1"/>
      <c r="X493" s="1"/>
      <c r="Y493" s="1"/>
      <c r="Z493" s="1"/>
      <c r="AB493" s="1"/>
      <c r="AC493" s="558"/>
      <c r="AD493" s="558"/>
      <c r="AE493" s="1"/>
      <c r="AF493" s="1"/>
      <c r="AG493" s="1"/>
      <c r="AH493" s="559"/>
      <c r="AI493" s="1"/>
      <c r="AJ493" s="1"/>
      <c r="AK493" s="1"/>
      <c r="AL493" s="1"/>
      <c r="AM493" s="1"/>
      <c r="AN493" s="1"/>
      <c r="AO493" s="1"/>
      <c r="AP493" s="1"/>
    </row>
    <row r="494" spans="17:42" ht="62.25" customHeight="1">
      <c r="Q494" s="1"/>
      <c r="R494" s="1"/>
      <c r="S494" s="1"/>
      <c r="T494" s="1"/>
      <c r="U494" s="1"/>
      <c r="V494" s="1"/>
      <c r="W494" s="1"/>
      <c r="X494" s="1"/>
      <c r="Y494" s="1"/>
      <c r="Z494" s="1"/>
      <c r="AB494" s="1"/>
      <c r="AC494" s="558"/>
      <c r="AD494" s="558"/>
      <c r="AE494" s="1"/>
      <c r="AF494" s="1"/>
      <c r="AG494" s="1"/>
      <c r="AH494" s="559"/>
      <c r="AI494" s="1"/>
      <c r="AJ494" s="1"/>
      <c r="AK494" s="1"/>
      <c r="AL494" s="1"/>
      <c r="AM494" s="1"/>
      <c r="AN494" s="1"/>
      <c r="AO494" s="1"/>
      <c r="AP494" s="1"/>
    </row>
    <row r="495" spans="17:42" ht="62.25" customHeight="1">
      <c r="Q495" s="1"/>
      <c r="R495" s="1"/>
      <c r="S495" s="1"/>
      <c r="T495" s="1"/>
      <c r="U495" s="1"/>
      <c r="V495" s="1"/>
      <c r="W495" s="1"/>
      <c r="X495" s="1"/>
      <c r="Y495" s="1"/>
      <c r="Z495" s="1"/>
      <c r="AB495" s="1"/>
      <c r="AC495" s="558"/>
      <c r="AD495" s="558"/>
      <c r="AE495" s="1"/>
      <c r="AF495" s="1"/>
      <c r="AG495" s="1"/>
      <c r="AH495" s="559"/>
      <c r="AI495" s="1"/>
      <c r="AJ495" s="1"/>
      <c r="AK495" s="1"/>
      <c r="AL495" s="1"/>
      <c r="AM495" s="1"/>
      <c r="AN495" s="1"/>
      <c r="AO495" s="1"/>
      <c r="AP495" s="1"/>
    </row>
    <row r="496" spans="17:42" ht="62.25" customHeight="1">
      <c r="Q496" s="1"/>
      <c r="R496" s="1"/>
      <c r="S496" s="1"/>
      <c r="T496" s="1"/>
      <c r="U496" s="1"/>
      <c r="V496" s="1"/>
      <c r="W496" s="1"/>
      <c r="X496" s="1"/>
      <c r="Y496" s="1"/>
      <c r="Z496" s="1"/>
      <c r="AB496" s="1"/>
      <c r="AC496" s="558"/>
      <c r="AD496" s="558"/>
      <c r="AE496" s="1"/>
      <c r="AF496" s="1"/>
      <c r="AG496" s="1"/>
      <c r="AH496" s="559"/>
      <c r="AI496" s="1"/>
      <c r="AJ496" s="1"/>
      <c r="AK496" s="1"/>
      <c r="AL496" s="1"/>
      <c r="AM496" s="1"/>
      <c r="AN496" s="1"/>
      <c r="AO496" s="1"/>
      <c r="AP496" s="1"/>
    </row>
    <row r="497" spans="17:42" ht="62.25" customHeight="1">
      <c r="Q497" s="1"/>
      <c r="R497" s="1"/>
      <c r="S497" s="1"/>
      <c r="T497" s="1"/>
      <c r="U497" s="1"/>
      <c r="V497" s="1"/>
      <c r="W497" s="1"/>
      <c r="X497" s="1"/>
      <c r="Y497" s="1"/>
      <c r="Z497" s="1"/>
      <c r="AB497" s="1"/>
      <c r="AC497" s="558"/>
      <c r="AD497" s="558"/>
      <c r="AE497" s="1"/>
      <c r="AF497" s="1"/>
      <c r="AG497" s="1"/>
      <c r="AH497" s="559"/>
      <c r="AI497" s="1"/>
      <c r="AJ497" s="1"/>
      <c r="AK497" s="1"/>
      <c r="AL497" s="1"/>
      <c r="AM497" s="1"/>
      <c r="AN497" s="1"/>
      <c r="AO497" s="1"/>
      <c r="AP497" s="1"/>
    </row>
    <row r="498" spans="17:42" ht="62.25" customHeight="1">
      <c r="Q498" s="1"/>
      <c r="R498" s="1"/>
      <c r="S498" s="1"/>
      <c r="T498" s="1"/>
      <c r="U498" s="1"/>
      <c r="V498" s="1"/>
      <c r="W498" s="1"/>
      <c r="X498" s="1"/>
      <c r="Y498" s="1"/>
      <c r="Z498" s="1"/>
      <c r="AB498" s="1"/>
      <c r="AC498" s="558"/>
      <c r="AD498" s="558"/>
      <c r="AE498" s="1"/>
      <c r="AF498" s="1"/>
      <c r="AG498" s="1"/>
      <c r="AH498" s="559"/>
      <c r="AI498" s="1"/>
      <c r="AJ498" s="1"/>
      <c r="AK498" s="1"/>
      <c r="AL498" s="1"/>
      <c r="AM498" s="1"/>
      <c r="AN498" s="1"/>
      <c r="AO498" s="1"/>
      <c r="AP498" s="1"/>
    </row>
    <row r="499" spans="17:42" ht="62.25" customHeight="1">
      <c r="Q499" s="1"/>
      <c r="R499" s="1"/>
      <c r="S499" s="1"/>
      <c r="T499" s="1"/>
      <c r="U499" s="1"/>
      <c r="V499" s="1"/>
      <c r="W499" s="1"/>
      <c r="X499" s="1"/>
      <c r="Y499" s="1"/>
      <c r="Z499" s="1"/>
      <c r="AB499" s="1"/>
      <c r="AC499" s="558"/>
      <c r="AD499" s="558"/>
      <c r="AE499" s="1"/>
      <c r="AF499" s="1"/>
      <c r="AG499" s="1"/>
      <c r="AH499" s="559"/>
      <c r="AI499" s="1"/>
      <c r="AJ499" s="1"/>
      <c r="AK499" s="1"/>
      <c r="AL499" s="1"/>
      <c r="AM499" s="1"/>
      <c r="AN499" s="1"/>
      <c r="AO499" s="1"/>
      <c r="AP499" s="1"/>
    </row>
    <row r="500" spans="17:42" ht="62.25" customHeight="1">
      <c r="Q500" s="1"/>
      <c r="R500" s="1"/>
      <c r="S500" s="1"/>
      <c r="T500" s="1"/>
      <c r="U500" s="1"/>
      <c r="V500" s="1"/>
      <c r="W500" s="1"/>
      <c r="X500" s="1"/>
      <c r="Y500" s="1"/>
      <c r="Z500" s="1"/>
      <c r="AB500" s="1"/>
      <c r="AC500" s="558"/>
      <c r="AD500" s="558"/>
      <c r="AE500" s="1"/>
      <c r="AF500" s="1"/>
      <c r="AG500" s="1"/>
      <c r="AH500" s="559"/>
      <c r="AI500" s="1"/>
      <c r="AJ500" s="1"/>
      <c r="AK500" s="1"/>
      <c r="AL500" s="1"/>
      <c r="AM500" s="1"/>
      <c r="AN500" s="1"/>
      <c r="AO500" s="1"/>
      <c r="AP500" s="1"/>
    </row>
    <row r="501" spans="17:42" ht="62.25" customHeight="1">
      <c r="Q501" s="1"/>
      <c r="R501" s="1"/>
      <c r="S501" s="1"/>
      <c r="T501" s="1"/>
      <c r="U501" s="1"/>
      <c r="V501" s="1"/>
      <c r="W501" s="1"/>
      <c r="X501" s="1"/>
      <c r="Y501" s="1"/>
      <c r="Z501" s="1"/>
      <c r="AB501" s="1"/>
      <c r="AC501" s="558"/>
      <c r="AD501" s="558"/>
      <c r="AE501" s="1"/>
      <c r="AF501" s="1"/>
      <c r="AG501" s="1"/>
      <c r="AH501" s="559"/>
      <c r="AI501" s="1"/>
      <c r="AJ501" s="1"/>
      <c r="AK501" s="1"/>
      <c r="AL501" s="1"/>
      <c r="AM501" s="1"/>
      <c r="AN501" s="1"/>
      <c r="AO501" s="1"/>
      <c r="AP501" s="1"/>
    </row>
    <row r="502" spans="17:42" ht="62.25" customHeight="1">
      <c r="Q502" s="1"/>
      <c r="R502" s="1"/>
      <c r="S502" s="1"/>
      <c r="T502" s="1"/>
      <c r="U502" s="1"/>
      <c r="V502" s="1"/>
      <c r="W502" s="1"/>
      <c r="X502" s="1"/>
      <c r="Y502" s="1"/>
      <c r="Z502" s="1"/>
      <c r="AB502" s="1"/>
      <c r="AC502" s="558"/>
      <c r="AD502" s="558"/>
      <c r="AE502" s="1"/>
      <c r="AF502" s="1"/>
      <c r="AG502" s="1"/>
      <c r="AH502" s="559"/>
      <c r="AI502" s="1"/>
      <c r="AJ502" s="1"/>
      <c r="AK502" s="1"/>
      <c r="AL502" s="1"/>
      <c r="AM502" s="1"/>
      <c r="AN502" s="1"/>
      <c r="AO502" s="1"/>
      <c r="AP502" s="1"/>
    </row>
    <row r="503" spans="17:42" ht="62.25" customHeight="1">
      <c r="Q503" s="1"/>
      <c r="R503" s="1"/>
      <c r="S503" s="1"/>
      <c r="T503" s="1"/>
      <c r="U503" s="1"/>
      <c r="V503" s="1"/>
      <c r="W503" s="1"/>
      <c r="X503" s="1"/>
      <c r="Y503" s="1"/>
      <c r="Z503" s="1"/>
      <c r="AB503" s="1"/>
      <c r="AC503" s="558"/>
      <c r="AD503" s="558"/>
      <c r="AE503" s="1"/>
      <c r="AF503" s="1"/>
      <c r="AG503" s="1"/>
      <c r="AH503" s="559"/>
      <c r="AI503" s="1"/>
      <c r="AJ503" s="1"/>
      <c r="AK503" s="1"/>
      <c r="AL503" s="1"/>
      <c r="AM503" s="1"/>
      <c r="AN503" s="1"/>
      <c r="AO503" s="1"/>
      <c r="AP503" s="1"/>
    </row>
    <row r="504" spans="17:42" ht="62.25" customHeight="1">
      <c r="Q504" s="1"/>
      <c r="R504" s="1"/>
      <c r="S504" s="1"/>
      <c r="T504" s="1"/>
      <c r="U504" s="1"/>
      <c r="V504" s="1"/>
      <c r="W504" s="1"/>
      <c r="X504" s="1"/>
      <c r="Y504" s="1"/>
      <c r="Z504" s="1"/>
      <c r="AB504" s="1"/>
      <c r="AC504" s="558"/>
      <c r="AD504" s="558"/>
      <c r="AE504" s="1"/>
      <c r="AF504" s="1"/>
      <c r="AG504" s="1"/>
      <c r="AH504" s="559"/>
      <c r="AI504" s="1"/>
      <c r="AJ504" s="1"/>
      <c r="AK504" s="1"/>
      <c r="AL504" s="1"/>
      <c r="AM504" s="1"/>
      <c r="AN504" s="1"/>
      <c r="AO504" s="1"/>
      <c r="AP504" s="1"/>
    </row>
    <row r="505" spans="17:42" ht="62.25" customHeight="1">
      <c r="Q505" s="1"/>
      <c r="R505" s="1"/>
      <c r="S505" s="1"/>
      <c r="T505" s="1"/>
      <c r="U505" s="1"/>
      <c r="V505" s="1"/>
      <c r="W505" s="1"/>
      <c r="X505" s="1"/>
      <c r="Y505" s="1"/>
      <c r="Z505" s="1"/>
      <c r="AB505" s="1"/>
      <c r="AC505" s="558"/>
      <c r="AD505" s="558"/>
      <c r="AE505" s="1"/>
      <c r="AF505" s="1"/>
      <c r="AG505" s="1"/>
      <c r="AH505" s="559"/>
      <c r="AI505" s="1"/>
      <c r="AJ505" s="1"/>
      <c r="AK505" s="1"/>
      <c r="AL505" s="1"/>
      <c r="AM505" s="1"/>
      <c r="AN505" s="1"/>
      <c r="AO505" s="1"/>
      <c r="AP505" s="1"/>
    </row>
    <row r="506" spans="17:42" ht="62.25" customHeight="1">
      <c r="Q506" s="1"/>
      <c r="R506" s="1"/>
      <c r="S506" s="1"/>
      <c r="T506" s="1"/>
      <c r="U506" s="1"/>
      <c r="V506" s="1"/>
      <c r="W506" s="1"/>
      <c r="X506" s="1"/>
      <c r="Y506" s="1"/>
      <c r="Z506" s="1"/>
      <c r="AB506" s="1"/>
      <c r="AC506" s="558"/>
      <c r="AD506" s="558"/>
      <c r="AE506" s="1"/>
      <c r="AF506" s="1"/>
      <c r="AG506" s="1"/>
      <c r="AH506" s="559"/>
      <c r="AI506" s="1"/>
      <c r="AJ506" s="1"/>
      <c r="AK506" s="1"/>
      <c r="AL506" s="1"/>
      <c r="AM506" s="1"/>
      <c r="AN506" s="1"/>
      <c r="AO506" s="1"/>
      <c r="AP506" s="1"/>
    </row>
    <row r="507" spans="17:42" ht="62.25" customHeight="1">
      <c r="Q507" s="1"/>
      <c r="R507" s="1"/>
      <c r="S507" s="1"/>
      <c r="T507" s="1"/>
      <c r="U507" s="1"/>
      <c r="V507" s="1"/>
      <c r="W507" s="1"/>
      <c r="X507" s="1"/>
      <c r="Y507" s="1"/>
      <c r="Z507" s="1"/>
      <c r="AB507" s="1"/>
      <c r="AC507" s="558"/>
      <c r="AD507" s="558"/>
      <c r="AE507" s="1"/>
      <c r="AF507" s="1"/>
      <c r="AG507" s="1"/>
      <c r="AH507" s="559"/>
      <c r="AI507" s="1"/>
      <c r="AJ507" s="1"/>
      <c r="AK507" s="1"/>
      <c r="AL507" s="1"/>
      <c r="AM507" s="1"/>
      <c r="AN507" s="1"/>
      <c r="AO507" s="1"/>
      <c r="AP507" s="1"/>
    </row>
    <row r="508" spans="17:42" ht="62.25" customHeight="1">
      <c r="Q508" s="1"/>
      <c r="R508" s="1"/>
      <c r="S508" s="1"/>
      <c r="T508" s="1"/>
      <c r="U508" s="1"/>
      <c r="V508" s="1"/>
      <c r="W508" s="1"/>
      <c r="X508" s="1"/>
      <c r="Y508" s="1"/>
      <c r="Z508" s="1"/>
      <c r="AB508" s="1"/>
      <c r="AC508" s="558"/>
      <c r="AD508" s="558"/>
      <c r="AE508" s="1"/>
      <c r="AF508" s="1"/>
      <c r="AG508" s="1"/>
      <c r="AH508" s="559"/>
      <c r="AI508" s="1"/>
      <c r="AJ508" s="1"/>
      <c r="AK508" s="1"/>
      <c r="AL508" s="1"/>
      <c r="AM508" s="1"/>
      <c r="AN508" s="1"/>
      <c r="AO508" s="1"/>
      <c r="AP508" s="1"/>
    </row>
    <row r="509" spans="17:42" ht="62.25" customHeight="1">
      <c r="Q509" s="1"/>
      <c r="R509" s="1"/>
      <c r="S509" s="1"/>
      <c r="T509" s="1"/>
      <c r="U509" s="1"/>
      <c r="V509" s="1"/>
      <c r="W509" s="1"/>
      <c r="X509" s="1"/>
      <c r="Y509" s="1"/>
      <c r="Z509" s="1"/>
      <c r="AB509" s="1"/>
      <c r="AC509" s="558"/>
      <c r="AD509" s="558"/>
      <c r="AE509" s="1"/>
      <c r="AF509" s="1"/>
      <c r="AG509" s="1"/>
      <c r="AH509" s="559"/>
      <c r="AI509" s="1"/>
      <c r="AJ509" s="1"/>
      <c r="AK509" s="1"/>
      <c r="AL509" s="1"/>
      <c r="AM509" s="1"/>
      <c r="AN509" s="1"/>
      <c r="AO509" s="1"/>
      <c r="AP509" s="1"/>
    </row>
    <row r="510" spans="17:42" ht="62.25" customHeight="1">
      <c r="Q510" s="1"/>
      <c r="R510" s="1"/>
      <c r="S510" s="1"/>
      <c r="T510" s="1"/>
      <c r="U510" s="1"/>
      <c r="V510" s="1"/>
      <c r="W510" s="1"/>
      <c r="X510" s="1"/>
      <c r="Y510" s="1"/>
      <c r="Z510" s="1"/>
      <c r="AB510" s="1"/>
      <c r="AC510" s="558"/>
      <c r="AD510" s="558"/>
      <c r="AE510" s="1"/>
      <c r="AF510" s="1"/>
      <c r="AG510" s="1"/>
      <c r="AH510" s="559"/>
      <c r="AI510" s="1"/>
      <c r="AJ510" s="1"/>
      <c r="AK510" s="1"/>
      <c r="AL510" s="1"/>
      <c r="AM510" s="1"/>
      <c r="AN510" s="1"/>
      <c r="AO510" s="1"/>
      <c r="AP510" s="1"/>
    </row>
    <row r="511" spans="17:42" ht="62.25" customHeight="1">
      <c r="Q511" s="1"/>
      <c r="R511" s="1"/>
      <c r="S511" s="1"/>
      <c r="T511" s="1"/>
      <c r="U511" s="1"/>
      <c r="V511" s="1"/>
      <c r="W511" s="1"/>
      <c r="X511" s="1"/>
      <c r="Y511" s="1"/>
      <c r="Z511" s="1"/>
      <c r="AB511" s="1"/>
      <c r="AC511" s="558"/>
      <c r="AD511" s="558"/>
      <c r="AE511" s="1"/>
      <c r="AF511" s="1"/>
      <c r="AG511" s="1"/>
      <c r="AH511" s="559"/>
      <c r="AI511" s="1"/>
      <c r="AJ511" s="1"/>
      <c r="AK511" s="1"/>
      <c r="AL511" s="1"/>
      <c r="AM511" s="1"/>
      <c r="AN511" s="1"/>
      <c r="AO511" s="1"/>
      <c r="AP511" s="1"/>
    </row>
    <row r="512" spans="17:42" ht="62.25" customHeight="1">
      <c r="Q512" s="1"/>
      <c r="R512" s="1"/>
      <c r="S512" s="1"/>
      <c r="T512" s="1"/>
      <c r="U512" s="1"/>
      <c r="V512" s="1"/>
      <c r="W512" s="1"/>
      <c r="X512" s="1"/>
      <c r="Y512" s="1"/>
      <c r="Z512" s="1"/>
      <c r="AB512" s="1"/>
      <c r="AC512" s="558"/>
      <c r="AD512" s="558"/>
      <c r="AE512" s="1"/>
      <c r="AF512" s="1"/>
      <c r="AG512" s="1"/>
      <c r="AH512" s="559"/>
      <c r="AI512" s="1"/>
      <c r="AJ512" s="1"/>
      <c r="AK512" s="1"/>
      <c r="AL512" s="1"/>
      <c r="AM512" s="1"/>
      <c r="AN512" s="1"/>
      <c r="AO512" s="1"/>
      <c r="AP512" s="1"/>
    </row>
    <row r="513" spans="17:42" ht="62.25" customHeight="1">
      <c r="Q513" s="1"/>
      <c r="R513" s="1"/>
      <c r="S513" s="1"/>
      <c r="T513" s="1"/>
      <c r="U513" s="1"/>
      <c r="V513" s="1"/>
      <c r="W513" s="1"/>
      <c r="X513" s="1"/>
      <c r="Y513" s="1"/>
      <c r="Z513" s="1"/>
      <c r="AB513" s="1"/>
      <c r="AC513" s="558"/>
      <c r="AD513" s="558"/>
      <c r="AE513" s="1"/>
      <c r="AF513" s="1"/>
      <c r="AG513" s="1"/>
      <c r="AH513" s="559"/>
      <c r="AI513" s="1"/>
      <c r="AJ513" s="1"/>
      <c r="AK513" s="1"/>
      <c r="AL513" s="1"/>
      <c r="AM513" s="1"/>
      <c r="AN513" s="1"/>
      <c r="AO513" s="1"/>
      <c r="AP513" s="1"/>
    </row>
    <row r="514" spans="17:42" ht="62.25" customHeight="1">
      <c r="Q514" s="1"/>
      <c r="R514" s="1"/>
      <c r="S514" s="1"/>
      <c r="T514" s="1"/>
      <c r="U514" s="1"/>
      <c r="V514" s="1"/>
      <c r="W514" s="1"/>
      <c r="X514" s="1"/>
      <c r="Y514" s="1"/>
      <c r="Z514" s="1"/>
      <c r="AB514" s="1"/>
      <c r="AC514" s="558"/>
      <c r="AD514" s="558"/>
      <c r="AE514" s="1"/>
      <c r="AF514" s="1"/>
      <c r="AG514" s="1"/>
      <c r="AH514" s="559"/>
      <c r="AI514" s="1"/>
      <c r="AJ514" s="1"/>
      <c r="AK514" s="1"/>
      <c r="AL514" s="1"/>
      <c r="AM514" s="1"/>
      <c r="AN514" s="1"/>
      <c r="AO514" s="1"/>
      <c r="AP514" s="1"/>
    </row>
    <row r="515" spans="17:42" ht="62.25" customHeight="1">
      <c r="Q515" s="1"/>
      <c r="R515" s="1"/>
      <c r="S515" s="1"/>
      <c r="T515" s="1"/>
      <c r="U515" s="1"/>
      <c r="V515" s="1"/>
      <c r="W515" s="1"/>
      <c r="X515" s="1"/>
      <c r="Y515" s="1"/>
      <c r="Z515" s="1"/>
      <c r="AB515" s="1"/>
      <c r="AC515" s="558"/>
      <c r="AD515" s="558"/>
      <c r="AE515" s="1"/>
      <c r="AF515" s="1"/>
      <c r="AG515" s="1"/>
      <c r="AH515" s="559"/>
      <c r="AI515" s="1"/>
      <c r="AJ515" s="1"/>
      <c r="AK515" s="1"/>
      <c r="AL515" s="1"/>
      <c r="AM515" s="1"/>
      <c r="AN515" s="1"/>
      <c r="AO515" s="1"/>
      <c r="AP515" s="1"/>
    </row>
    <row r="516" spans="17:42" ht="62.25" customHeight="1">
      <c r="Q516" s="1"/>
      <c r="R516" s="1"/>
      <c r="S516" s="1"/>
      <c r="T516" s="1"/>
      <c r="U516" s="1"/>
      <c r="V516" s="1"/>
      <c r="W516" s="1"/>
      <c r="X516" s="1"/>
      <c r="Y516" s="1"/>
      <c r="Z516" s="1"/>
      <c r="AB516" s="1"/>
      <c r="AC516" s="558"/>
      <c r="AD516" s="558"/>
      <c r="AE516" s="1"/>
      <c r="AF516" s="1"/>
      <c r="AG516" s="1"/>
      <c r="AH516" s="559"/>
      <c r="AI516" s="1"/>
      <c r="AJ516" s="1"/>
      <c r="AK516" s="1"/>
      <c r="AL516" s="1"/>
      <c r="AM516" s="1"/>
      <c r="AN516" s="1"/>
      <c r="AO516" s="1"/>
      <c r="AP516" s="1"/>
    </row>
    <row r="517" spans="17:42" ht="62.25" customHeight="1">
      <c r="Q517" s="1"/>
      <c r="R517" s="1"/>
      <c r="S517" s="1"/>
      <c r="T517" s="1"/>
      <c r="U517" s="1"/>
      <c r="V517" s="1"/>
      <c r="W517" s="1"/>
      <c r="X517" s="1"/>
      <c r="Y517" s="1"/>
      <c r="Z517" s="1"/>
      <c r="AB517" s="1"/>
      <c r="AC517" s="558"/>
      <c r="AD517" s="558"/>
      <c r="AE517" s="1"/>
      <c r="AF517" s="1"/>
      <c r="AG517" s="1"/>
      <c r="AH517" s="559"/>
      <c r="AI517" s="1"/>
      <c r="AJ517" s="1"/>
      <c r="AK517" s="1"/>
      <c r="AL517" s="1"/>
      <c r="AM517" s="1"/>
      <c r="AN517" s="1"/>
      <c r="AO517" s="1"/>
      <c r="AP517" s="1"/>
    </row>
    <row r="518" spans="17:42" ht="62.25" customHeight="1">
      <c r="Q518" s="1"/>
      <c r="R518" s="1"/>
      <c r="S518" s="1"/>
      <c r="T518" s="1"/>
      <c r="U518" s="1"/>
      <c r="V518" s="1"/>
      <c r="W518" s="1"/>
      <c r="X518" s="1"/>
      <c r="Y518" s="1"/>
      <c r="Z518" s="1"/>
      <c r="AB518" s="1"/>
      <c r="AC518" s="558"/>
      <c r="AD518" s="558"/>
      <c r="AE518" s="1"/>
      <c r="AF518" s="1"/>
      <c r="AG518" s="1"/>
      <c r="AH518" s="559"/>
      <c r="AI518" s="1"/>
      <c r="AJ518" s="1"/>
      <c r="AK518" s="1"/>
      <c r="AL518" s="1"/>
      <c r="AM518" s="1"/>
      <c r="AN518" s="1"/>
      <c r="AO518" s="1"/>
      <c r="AP518" s="1"/>
    </row>
    <row r="519" spans="17:42" ht="62.25" customHeight="1">
      <c r="Q519" s="1"/>
      <c r="R519" s="1"/>
      <c r="S519" s="1"/>
      <c r="T519" s="1"/>
      <c r="U519" s="1"/>
      <c r="V519" s="1"/>
      <c r="W519" s="1"/>
      <c r="X519" s="1"/>
      <c r="Y519" s="1"/>
      <c r="Z519" s="1"/>
      <c r="AB519" s="1"/>
      <c r="AC519" s="558"/>
      <c r="AD519" s="558"/>
      <c r="AE519" s="1"/>
      <c r="AF519" s="1"/>
      <c r="AG519" s="1"/>
      <c r="AH519" s="559"/>
      <c r="AI519" s="1"/>
      <c r="AJ519" s="1"/>
      <c r="AK519" s="1"/>
      <c r="AL519" s="1"/>
      <c r="AM519" s="1"/>
      <c r="AN519" s="1"/>
      <c r="AO519" s="1"/>
      <c r="AP519" s="1"/>
    </row>
    <row r="520" spans="17:42" ht="62.25" customHeight="1">
      <c r="Q520" s="1"/>
      <c r="R520" s="1"/>
      <c r="S520" s="1"/>
      <c r="T520" s="1"/>
      <c r="U520" s="1"/>
      <c r="V520" s="1"/>
      <c r="W520" s="1"/>
      <c r="X520" s="1"/>
      <c r="Y520" s="1"/>
      <c r="Z520" s="1"/>
      <c r="AB520" s="1"/>
      <c r="AC520" s="558"/>
      <c r="AD520" s="558"/>
      <c r="AE520" s="1"/>
      <c r="AF520" s="1"/>
      <c r="AG520" s="1"/>
      <c r="AH520" s="559"/>
      <c r="AI520" s="1"/>
      <c r="AJ520" s="1"/>
      <c r="AK520" s="1"/>
      <c r="AL520" s="1"/>
      <c r="AM520" s="1"/>
      <c r="AN520" s="1"/>
      <c r="AO520" s="1"/>
      <c r="AP520" s="1"/>
    </row>
    <row r="521" spans="17:42" ht="62.25" customHeight="1">
      <c r="Q521" s="1"/>
      <c r="R521" s="1"/>
      <c r="S521" s="1"/>
      <c r="T521" s="1"/>
      <c r="U521" s="1"/>
      <c r="V521" s="1"/>
      <c r="W521" s="1"/>
      <c r="X521" s="1"/>
      <c r="Y521" s="1"/>
      <c r="Z521" s="1"/>
      <c r="AB521" s="1"/>
      <c r="AC521" s="558"/>
      <c r="AD521" s="558"/>
      <c r="AE521" s="1"/>
      <c r="AF521" s="1"/>
      <c r="AG521" s="1"/>
      <c r="AH521" s="559"/>
      <c r="AI521" s="1"/>
      <c r="AJ521" s="1"/>
      <c r="AK521" s="1"/>
      <c r="AL521" s="1"/>
      <c r="AM521" s="1"/>
      <c r="AN521" s="1"/>
      <c r="AO521" s="1"/>
      <c r="AP521" s="1"/>
    </row>
    <row r="522" spans="17:42" ht="62.25" customHeight="1">
      <c r="Q522" s="1"/>
      <c r="R522" s="1"/>
      <c r="S522" s="1"/>
      <c r="T522" s="1"/>
      <c r="U522" s="1"/>
      <c r="V522" s="1"/>
      <c r="W522" s="1"/>
      <c r="X522" s="1"/>
      <c r="Y522" s="1"/>
      <c r="Z522" s="1"/>
      <c r="AB522" s="1"/>
      <c r="AC522" s="558"/>
      <c r="AD522" s="558"/>
      <c r="AE522" s="1"/>
      <c r="AF522" s="1"/>
      <c r="AG522" s="1"/>
      <c r="AH522" s="559"/>
      <c r="AI522" s="1"/>
      <c r="AJ522" s="1"/>
      <c r="AK522" s="1"/>
      <c r="AL522" s="1"/>
      <c r="AM522" s="1"/>
      <c r="AN522" s="1"/>
      <c r="AO522" s="1"/>
      <c r="AP522" s="1"/>
    </row>
    <row r="523" spans="17:42" ht="62.25" customHeight="1">
      <c r="Q523" s="1"/>
      <c r="R523" s="1"/>
      <c r="S523" s="1"/>
      <c r="T523" s="1"/>
      <c r="U523" s="1"/>
      <c r="V523" s="1"/>
      <c r="W523" s="1"/>
      <c r="X523" s="1"/>
      <c r="Y523" s="1"/>
      <c r="Z523" s="1"/>
      <c r="AB523" s="1"/>
      <c r="AC523" s="558"/>
      <c r="AD523" s="558"/>
      <c r="AE523" s="1"/>
      <c r="AF523" s="1"/>
      <c r="AG523" s="1"/>
      <c r="AH523" s="559"/>
      <c r="AI523" s="1"/>
      <c r="AJ523" s="1"/>
      <c r="AK523" s="1"/>
      <c r="AL523" s="1"/>
      <c r="AM523" s="1"/>
      <c r="AN523" s="1"/>
      <c r="AO523" s="1"/>
      <c r="AP523" s="1"/>
    </row>
    <row r="524" spans="17:42" ht="62.25" customHeight="1">
      <c r="Q524" s="1"/>
      <c r="R524" s="1"/>
      <c r="S524" s="1"/>
      <c r="T524" s="1"/>
      <c r="U524" s="1"/>
      <c r="V524" s="1"/>
      <c r="W524" s="1"/>
      <c r="X524" s="1"/>
      <c r="Y524" s="1"/>
      <c r="Z524" s="1"/>
      <c r="AB524" s="1"/>
      <c r="AC524" s="558"/>
      <c r="AD524" s="558"/>
      <c r="AE524" s="1"/>
      <c r="AF524" s="1"/>
      <c r="AG524" s="1"/>
      <c r="AH524" s="559"/>
      <c r="AI524" s="1"/>
      <c r="AJ524" s="1"/>
      <c r="AK524" s="1"/>
      <c r="AL524" s="1"/>
      <c r="AM524" s="1"/>
      <c r="AN524" s="1"/>
      <c r="AO524" s="1"/>
      <c r="AP524" s="1"/>
    </row>
    <row r="525" spans="17:42" ht="62.25" customHeight="1">
      <c r="Q525" s="1"/>
      <c r="R525" s="1"/>
      <c r="S525" s="1"/>
      <c r="T525" s="1"/>
      <c r="U525" s="1"/>
      <c r="V525" s="1"/>
      <c r="W525" s="1"/>
      <c r="X525" s="1"/>
      <c r="Y525" s="1"/>
      <c r="Z525" s="1"/>
      <c r="AB525" s="1"/>
      <c r="AC525" s="558"/>
      <c r="AD525" s="558"/>
      <c r="AE525" s="1"/>
      <c r="AF525" s="1"/>
      <c r="AG525" s="1"/>
      <c r="AH525" s="559"/>
      <c r="AI525" s="1"/>
      <c r="AJ525" s="1"/>
      <c r="AK525" s="1"/>
      <c r="AL525" s="1"/>
      <c r="AM525" s="1"/>
      <c r="AN525" s="1"/>
      <c r="AO525" s="1"/>
      <c r="AP525" s="1"/>
    </row>
    <row r="526" spans="17:42" ht="62.25" customHeight="1">
      <c r="Q526" s="1"/>
      <c r="R526" s="1"/>
      <c r="S526" s="1"/>
      <c r="T526" s="1"/>
      <c r="U526" s="1"/>
      <c r="V526" s="1"/>
      <c r="W526" s="1"/>
      <c r="X526" s="1"/>
      <c r="Y526" s="1"/>
      <c r="Z526" s="1"/>
      <c r="AB526" s="1"/>
      <c r="AC526" s="558"/>
      <c r="AD526" s="558"/>
      <c r="AE526" s="1"/>
      <c r="AF526" s="1"/>
      <c r="AG526" s="1"/>
      <c r="AH526" s="559"/>
      <c r="AI526" s="1"/>
      <c r="AJ526" s="1"/>
      <c r="AK526" s="1"/>
      <c r="AL526" s="1"/>
      <c r="AM526" s="1"/>
      <c r="AN526" s="1"/>
      <c r="AO526" s="1"/>
      <c r="AP526" s="1"/>
    </row>
    <row r="527" spans="17:42" ht="62.25" customHeight="1">
      <c r="Q527" s="1"/>
      <c r="R527" s="1"/>
      <c r="S527" s="1"/>
      <c r="T527" s="1"/>
      <c r="U527" s="1"/>
      <c r="V527" s="1"/>
      <c r="W527" s="1"/>
      <c r="X527" s="1"/>
      <c r="Y527" s="1"/>
      <c r="Z527" s="1"/>
      <c r="AB527" s="1"/>
      <c r="AC527" s="558"/>
      <c r="AD527" s="558"/>
      <c r="AE527" s="1"/>
      <c r="AF527" s="1"/>
      <c r="AG527" s="1"/>
      <c r="AH527" s="559"/>
      <c r="AI527" s="1"/>
      <c r="AJ527" s="1"/>
      <c r="AK527" s="1"/>
      <c r="AL527" s="1"/>
      <c r="AM527" s="1"/>
      <c r="AN527" s="1"/>
      <c r="AO527" s="1"/>
      <c r="AP527" s="1"/>
    </row>
    <row r="528" spans="17:42" ht="62.25" customHeight="1">
      <c r="Q528" s="1"/>
      <c r="R528" s="1"/>
      <c r="S528" s="1"/>
      <c r="T528" s="1"/>
      <c r="U528" s="1"/>
      <c r="V528" s="1"/>
      <c r="W528" s="1"/>
      <c r="X528" s="1"/>
      <c r="Y528" s="1"/>
      <c r="Z528" s="1"/>
      <c r="AB528" s="1"/>
      <c r="AC528" s="558"/>
      <c r="AD528" s="558"/>
      <c r="AE528" s="1"/>
      <c r="AF528" s="1"/>
      <c r="AG528" s="1"/>
      <c r="AH528" s="559"/>
      <c r="AI528" s="1"/>
      <c r="AJ528" s="1"/>
      <c r="AK528" s="1"/>
      <c r="AL528" s="1"/>
      <c r="AM528" s="1"/>
      <c r="AN528" s="1"/>
      <c r="AO528" s="1"/>
      <c r="AP528" s="1"/>
    </row>
    <row r="529" spans="17:42" ht="62.25" customHeight="1">
      <c r="Q529" s="1"/>
      <c r="R529" s="1"/>
      <c r="S529" s="1"/>
      <c r="T529" s="1"/>
      <c r="U529" s="1"/>
      <c r="V529" s="1"/>
      <c r="W529" s="1"/>
      <c r="X529" s="1"/>
      <c r="Y529" s="1"/>
      <c r="Z529" s="1"/>
      <c r="AB529" s="1"/>
      <c r="AC529" s="558"/>
      <c r="AD529" s="558"/>
      <c r="AE529" s="1"/>
      <c r="AF529" s="1"/>
      <c r="AG529" s="1"/>
      <c r="AH529" s="559"/>
      <c r="AI529" s="1"/>
      <c r="AJ529" s="1"/>
      <c r="AK529" s="1"/>
      <c r="AL529" s="1"/>
      <c r="AM529" s="1"/>
      <c r="AN529" s="1"/>
      <c r="AO529" s="1"/>
      <c r="AP529" s="1"/>
    </row>
    <row r="530" spans="17:42" ht="62.25" customHeight="1">
      <c r="Q530" s="1"/>
      <c r="R530" s="1"/>
      <c r="S530" s="1"/>
      <c r="T530" s="1"/>
      <c r="U530" s="1"/>
      <c r="V530" s="1"/>
      <c r="W530" s="1"/>
      <c r="X530" s="1"/>
      <c r="Y530" s="1"/>
      <c r="Z530" s="1"/>
      <c r="AB530" s="1"/>
      <c r="AC530" s="558"/>
      <c r="AD530" s="558"/>
      <c r="AE530" s="1"/>
      <c r="AF530" s="1"/>
      <c r="AG530" s="1"/>
      <c r="AH530" s="559"/>
      <c r="AI530" s="1"/>
      <c r="AJ530" s="1"/>
      <c r="AK530" s="1"/>
      <c r="AL530" s="1"/>
      <c r="AM530" s="1"/>
      <c r="AN530" s="1"/>
      <c r="AO530" s="1"/>
      <c r="AP530" s="1"/>
    </row>
    <row r="531" spans="17:42" ht="62.25" customHeight="1">
      <c r="Q531" s="1"/>
      <c r="R531" s="1"/>
      <c r="S531" s="1"/>
      <c r="T531" s="1"/>
      <c r="U531" s="1"/>
      <c r="V531" s="1"/>
      <c r="W531" s="1"/>
      <c r="X531" s="1"/>
      <c r="Y531" s="1"/>
      <c r="Z531" s="1"/>
      <c r="AB531" s="1"/>
      <c r="AC531" s="558"/>
      <c r="AD531" s="558"/>
      <c r="AE531" s="1"/>
      <c r="AF531" s="1"/>
      <c r="AG531" s="1"/>
      <c r="AH531" s="559"/>
      <c r="AI531" s="1"/>
      <c r="AJ531" s="1"/>
      <c r="AK531" s="1"/>
      <c r="AL531" s="1"/>
      <c r="AM531" s="1"/>
      <c r="AN531" s="1"/>
      <c r="AO531" s="1"/>
      <c r="AP531" s="1"/>
    </row>
    <row r="532" spans="17:42" ht="62.25" customHeight="1">
      <c r="Q532" s="1"/>
      <c r="R532" s="1"/>
      <c r="S532" s="1"/>
      <c r="T532" s="1"/>
      <c r="U532" s="1"/>
      <c r="V532" s="1"/>
      <c r="W532" s="1"/>
      <c r="X532" s="1"/>
      <c r="Y532" s="1"/>
      <c r="Z532" s="1"/>
      <c r="AB532" s="1"/>
      <c r="AC532" s="558"/>
      <c r="AD532" s="558"/>
      <c r="AE532" s="1"/>
      <c r="AF532" s="1"/>
      <c r="AG532" s="1"/>
      <c r="AH532" s="559"/>
      <c r="AI532" s="1"/>
      <c r="AJ532" s="1"/>
      <c r="AK532" s="1"/>
      <c r="AL532" s="1"/>
      <c r="AM532" s="1"/>
      <c r="AN532" s="1"/>
      <c r="AO532" s="1"/>
      <c r="AP532" s="1"/>
    </row>
    <row r="533" spans="17:42" ht="62.25" customHeight="1">
      <c r="Q533" s="1"/>
      <c r="R533" s="1"/>
      <c r="S533" s="1"/>
      <c r="T533" s="1"/>
      <c r="U533" s="1"/>
      <c r="V533" s="1"/>
      <c r="W533" s="1"/>
      <c r="X533" s="1"/>
      <c r="Y533" s="1"/>
      <c r="Z533" s="1"/>
      <c r="AB533" s="1"/>
      <c r="AC533" s="558"/>
      <c r="AD533" s="558"/>
      <c r="AE533" s="1"/>
      <c r="AF533" s="1"/>
      <c r="AG533" s="1"/>
      <c r="AH533" s="559"/>
      <c r="AI533" s="1"/>
      <c r="AJ533" s="1"/>
      <c r="AK533" s="1"/>
      <c r="AL533" s="1"/>
      <c r="AM533" s="1"/>
      <c r="AN533" s="1"/>
      <c r="AO533" s="1"/>
      <c r="AP533" s="1"/>
    </row>
    <row r="534" spans="17:42" ht="62.25" customHeight="1">
      <c r="Q534" s="1"/>
      <c r="R534" s="1"/>
      <c r="S534" s="1"/>
      <c r="T534" s="1"/>
      <c r="U534" s="1"/>
      <c r="V534" s="1"/>
      <c r="W534" s="1"/>
      <c r="X534" s="1"/>
      <c r="Y534" s="1"/>
      <c r="Z534" s="1"/>
      <c r="AB534" s="1"/>
      <c r="AC534" s="558"/>
      <c r="AD534" s="558"/>
      <c r="AE534" s="1"/>
      <c r="AF534" s="1"/>
      <c r="AG534" s="1"/>
      <c r="AH534" s="559"/>
      <c r="AI534" s="1"/>
      <c r="AJ534" s="1"/>
      <c r="AK534" s="1"/>
      <c r="AL534" s="1"/>
      <c r="AM534" s="1"/>
      <c r="AN534" s="1"/>
      <c r="AO534" s="1"/>
      <c r="AP534" s="1"/>
    </row>
    <row r="535" spans="17:42" ht="62.25" customHeight="1">
      <c r="Q535" s="1"/>
      <c r="R535" s="1"/>
      <c r="S535" s="1"/>
      <c r="T535" s="1"/>
      <c r="U535" s="1"/>
      <c r="V535" s="1"/>
      <c r="W535" s="1"/>
      <c r="X535" s="1"/>
      <c r="Y535" s="1"/>
      <c r="Z535" s="1"/>
      <c r="AB535" s="1"/>
      <c r="AC535" s="558"/>
      <c r="AD535" s="558"/>
      <c r="AE535" s="1"/>
      <c r="AF535" s="1"/>
      <c r="AG535" s="1"/>
      <c r="AH535" s="559"/>
      <c r="AI535" s="1"/>
      <c r="AJ535" s="1"/>
      <c r="AK535" s="1"/>
      <c r="AL535" s="1"/>
      <c r="AM535" s="1"/>
      <c r="AN535" s="1"/>
      <c r="AO535" s="1"/>
      <c r="AP535" s="1"/>
    </row>
    <row r="536" spans="17:42" ht="62.25" customHeight="1">
      <c r="Q536" s="1"/>
      <c r="R536" s="1"/>
      <c r="S536" s="1"/>
      <c r="T536" s="1"/>
      <c r="U536" s="1"/>
      <c r="V536" s="1"/>
      <c r="W536" s="1"/>
      <c r="X536" s="1"/>
      <c r="Y536" s="1"/>
      <c r="Z536" s="1"/>
      <c r="AB536" s="1"/>
      <c r="AC536" s="558"/>
      <c r="AD536" s="558"/>
      <c r="AE536" s="1"/>
      <c r="AF536" s="1"/>
      <c r="AG536" s="1"/>
      <c r="AH536" s="559"/>
      <c r="AI536" s="1"/>
      <c r="AJ536" s="1"/>
      <c r="AK536" s="1"/>
      <c r="AL536" s="1"/>
      <c r="AM536" s="1"/>
      <c r="AN536" s="1"/>
      <c r="AO536" s="1"/>
      <c r="AP536" s="1"/>
    </row>
    <row r="537" spans="17:42" ht="62.25" customHeight="1">
      <c r="Q537" s="1"/>
      <c r="R537" s="1"/>
      <c r="S537" s="1"/>
      <c r="T537" s="1"/>
      <c r="U537" s="1"/>
      <c r="V537" s="1"/>
      <c r="W537" s="1"/>
      <c r="X537" s="1"/>
      <c r="Y537" s="1"/>
      <c r="Z537" s="1"/>
      <c r="AB537" s="1"/>
      <c r="AC537" s="558"/>
      <c r="AD537" s="558"/>
      <c r="AE537" s="1"/>
      <c r="AF537" s="1"/>
      <c r="AG537" s="1"/>
      <c r="AH537" s="559"/>
      <c r="AI537" s="1"/>
      <c r="AJ537" s="1"/>
      <c r="AK537" s="1"/>
      <c r="AL537" s="1"/>
      <c r="AM537" s="1"/>
      <c r="AN537" s="1"/>
      <c r="AO537" s="1"/>
      <c r="AP537" s="1"/>
    </row>
    <row r="538" spans="17:42" ht="62.25" customHeight="1">
      <c r="Q538" s="1"/>
      <c r="R538" s="1"/>
      <c r="S538" s="1"/>
      <c r="T538" s="1"/>
      <c r="U538" s="1"/>
      <c r="V538" s="1"/>
      <c r="W538" s="1"/>
      <c r="X538" s="1"/>
      <c r="Y538" s="1"/>
      <c r="Z538" s="1"/>
      <c r="AB538" s="1"/>
      <c r="AC538" s="558"/>
      <c r="AD538" s="558"/>
      <c r="AE538" s="1"/>
      <c r="AF538" s="1"/>
      <c r="AG538" s="1"/>
      <c r="AH538" s="559"/>
      <c r="AI538" s="1"/>
      <c r="AJ538" s="1"/>
      <c r="AK538" s="1"/>
      <c r="AL538" s="1"/>
      <c r="AM538" s="1"/>
      <c r="AN538" s="1"/>
      <c r="AO538" s="1"/>
      <c r="AP538" s="1"/>
    </row>
    <row r="539" spans="17:42" ht="62.25" customHeight="1">
      <c r="Q539" s="1"/>
      <c r="R539" s="1"/>
      <c r="S539" s="1"/>
      <c r="T539" s="1"/>
      <c r="U539" s="1"/>
      <c r="V539" s="1"/>
      <c r="W539" s="1"/>
      <c r="X539" s="1"/>
      <c r="Y539" s="1"/>
      <c r="Z539" s="1"/>
      <c r="AB539" s="1"/>
      <c r="AC539" s="558"/>
      <c r="AD539" s="558"/>
      <c r="AE539" s="1"/>
      <c r="AF539" s="1"/>
      <c r="AG539" s="1"/>
      <c r="AH539" s="559"/>
      <c r="AI539" s="1"/>
      <c r="AJ539" s="1"/>
      <c r="AK539" s="1"/>
      <c r="AL539" s="1"/>
      <c r="AM539" s="1"/>
      <c r="AN539" s="1"/>
      <c r="AO539" s="1"/>
      <c r="AP539" s="1"/>
    </row>
    <row r="540" spans="17:42" ht="62.25" customHeight="1">
      <c r="Q540" s="1"/>
      <c r="R540" s="1"/>
      <c r="S540" s="1"/>
      <c r="T540" s="1"/>
      <c r="U540" s="1"/>
      <c r="V540" s="1"/>
      <c r="W540" s="1"/>
      <c r="X540" s="1"/>
      <c r="Y540" s="1"/>
      <c r="Z540" s="1"/>
      <c r="AB540" s="1"/>
      <c r="AC540" s="558"/>
      <c r="AD540" s="558"/>
      <c r="AE540" s="1"/>
      <c r="AF540" s="1"/>
      <c r="AG540" s="1"/>
      <c r="AH540" s="559"/>
      <c r="AI540" s="1"/>
      <c r="AJ540" s="1"/>
      <c r="AK540" s="1"/>
      <c r="AL540" s="1"/>
      <c r="AM540" s="1"/>
      <c r="AN540" s="1"/>
      <c r="AO540" s="1"/>
      <c r="AP540" s="1"/>
    </row>
    <row r="541" spans="17:42" ht="62.25" customHeight="1">
      <c r="Q541" s="1"/>
      <c r="R541" s="1"/>
      <c r="S541" s="1"/>
      <c r="T541" s="1"/>
      <c r="U541" s="1"/>
      <c r="V541" s="1"/>
      <c r="W541" s="1"/>
      <c r="X541" s="1"/>
      <c r="Y541" s="1"/>
      <c r="Z541" s="1"/>
      <c r="AB541" s="1"/>
      <c r="AC541" s="558"/>
      <c r="AD541" s="558"/>
      <c r="AE541" s="1"/>
      <c r="AF541" s="1"/>
      <c r="AG541" s="1"/>
      <c r="AH541" s="559"/>
      <c r="AI541" s="1"/>
      <c r="AJ541" s="1"/>
      <c r="AK541" s="1"/>
      <c r="AL541" s="1"/>
      <c r="AM541" s="1"/>
      <c r="AN541" s="1"/>
      <c r="AO541" s="1"/>
      <c r="AP541" s="1"/>
    </row>
    <row r="542" spans="17:42" ht="62.25" customHeight="1">
      <c r="Q542" s="1"/>
      <c r="R542" s="1"/>
      <c r="S542" s="1"/>
      <c r="T542" s="1"/>
      <c r="U542" s="1"/>
      <c r="V542" s="1"/>
      <c r="W542" s="1"/>
      <c r="X542" s="1"/>
      <c r="Y542" s="1"/>
      <c r="Z542" s="1"/>
      <c r="AB542" s="1"/>
      <c r="AC542" s="558"/>
      <c r="AD542" s="558"/>
      <c r="AE542" s="1"/>
      <c r="AF542" s="1"/>
      <c r="AG542" s="1"/>
      <c r="AH542" s="559"/>
      <c r="AI542" s="1"/>
      <c r="AJ542" s="1"/>
      <c r="AK542" s="1"/>
      <c r="AL542" s="1"/>
      <c r="AM542" s="1"/>
      <c r="AN542" s="1"/>
      <c r="AO542" s="1"/>
      <c r="AP542" s="1"/>
    </row>
    <row r="543" spans="17:42" ht="62.25" customHeight="1">
      <c r="Q543" s="1"/>
      <c r="R543" s="1"/>
      <c r="S543" s="1"/>
      <c r="T543" s="1"/>
      <c r="U543" s="1"/>
      <c r="V543" s="1"/>
      <c r="W543" s="1"/>
      <c r="X543" s="1"/>
      <c r="Y543" s="1"/>
      <c r="Z543" s="1"/>
      <c r="AB543" s="1"/>
      <c r="AC543" s="558"/>
      <c r="AD543" s="558"/>
      <c r="AE543" s="1"/>
      <c r="AF543" s="1"/>
      <c r="AG543" s="1"/>
      <c r="AH543" s="559"/>
      <c r="AI543" s="1"/>
      <c r="AJ543" s="1"/>
      <c r="AK543" s="1"/>
      <c r="AL543" s="1"/>
      <c r="AM543" s="1"/>
      <c r="AN543" s="1"/>
      <c r="AO543" s="1"/>
      <c r="AP543" s="1"/>
    </row>
    <row r="544" spans="17:42" ht="62.25" customHeight="1">
      <c r="Q544" s="1"/>
      <c r="R544" s="1"/>
      <c r="S544" s="1"/>
      <c r="T544" s="1"/>
      <c r="U544" s="1"/>
      <c r="V544" s="1"/>
      <c r="W544" s="1"/>
      <c r="X544" s="1"/>
      <c r="Y544" s="1"/>
      <c r="Z544" s="1"/>
      <c r="AB544" s="1"/>
      <c r="AC544" s="558"/>
      <c r="AD544" s="558"/>
      <c r="AE544" s="1"/>
      <c r="AF544" s="1"/>
      <c r="AG544" s="1"/>
      <c r="AH544" s="559"/>
      <c r="AI544" s="1"/>
      <c r="AJ544" s="1"/>
      <c r="AK544" s="1"/>
      <c r="AL544" s="1"/>
      <c r="AM544" s="1"/>
      <c r="AN544" s="1"/>
      <c r="AO544" s="1"/>
      <c r="AP544" s="1"/>
    </row>
    <row r="545" spans="17:42" ht="62.25" customHeight="1">
      <c r="Q545" s="1"/>
      <c r="R545" s="1"/>
      <c r="S545" s="1"/>
      <c r="T545" s="1"/>
      <c r="U545" s="1"/>
      <c r="V545" s="1"/>
      <c r="W545" s="1"/>
      <c r="X545" s="1"/>
      <c r="Y545" s="1"/>
      <c r="Z545" s="1"/>
      <c r="AB545" s="1"/>
      <c r="AC545" s="558"/>
      <c r="AD545" s="558"/>
      <c r="AE545" s="1"/>
      <c r="AF545" s="1"/>
      <c r="AG545" s="1"/>
      <c r="AH545" s="559"/>
      <c r="AI545" s="1"/>
      <c r="AJ545" s="1"/>
      <c r="AK545" s="1"/>
      <c r="AL545" s="1"/>
      <c r="AM545" s="1"/>
      <c r="AN545" s="1"/>
      <c r="AO545" s="1"/>
      <c r="AP545" s="1"/>
    </row>
    <row r="546" spans="17:42" ht="62.25" customHeight="1">
      <c r="Q546" s="1"/>
      <c r="R546" s="1"/>
      <c r="S546" s="1"/>
      <c r="T546" s="1"/>
      <c r="U546" s="1"/>
      <c r="V546" s="1"/>
      <c r="W546" s="1"/>
      <c r="X546" s="1"/>
      <c r="Y546" s="1"/>
      <c r="Z546" s="1"/>
      <c r="AB546" s="1"/>
      <c r="AC546" s="558"/>
      <c r="AD546" s="558"/>
      <c r="AE546" s="1"/>
      <c r="AF546" s="1"/>
      <c r="AG546" s="1"/>
      <c r="AH546" s="559"/>
      <c r="AI546" s="1"/>
      <c r="AJ546" s="1"/>
      <c r="AK546" s="1"/>
      <c r="AL546" s="1"/>
      <c r="AM546" s="1"/>
      <c r="AN546" s="1"/>
      <c r="AO546" s="1"/>
      <c r="AP546" s="1"/>
    </row>
    <row r="547" spans="17:42" ht="62.25" customHeight="1">
      <c r="Q547" s="1"/>
      <c r="R547" s="1"/>
      <c r="S547" s="1"/>
      <c r="T547" s="1"/>
      <c r="U547" s="1"/>
      <c r="V547" s="1"/>
      <c r="W547" s="1"/>
      <c r="X547" s="1"/>
      <c r="Y547" s="1"/>
      <c r="Z547" s="1"/>
      <c r="AB547" s="1"/>
      <c r="AC547" s="558"/>
      <c r="AD547" s="558"/>
      <c r="AE547" s="1"/>
      <c r="AF547" s="1"/>
      <c r="AG547" s="1"/>
      <c r="AH547" s="559"/>
      <c r="AI547" s="1"/>
      <c r="AJ547" s="1"/>
      <c r="AK547" s="1"/>
      <c r="AL547" s="1"/>
      <c r="AM547" s="1"/>
      <c r="AN547" s="1"/>
      <c r="AO547" s="1"/>
      <c r="AP547" s="1"/>
    </row>
    <row r="548" spans="17:42" ht="62.25" customHeight="1">
      <c r="Q548" s="1"/>
      <c r="R548" s="1"/>
      <c r="S548" s="1"/>
      <c r="T548" s="1"/>
      <c r="U548" s="1"/>
      <c r="V548" s="1"/>
      <c r="W548" s="1"/>
      <c r="X548" s="1"/>
      <c r="Y548" s="1"/>
      <c r="Z548" s="1"/>
      <c r="AB548" s="1"/>
      <c r="AC548" s="558"/>
      <c r="AD548" s="558"/>
      <c r="AE548" s="1"/>
      <c r="AF548" s="1"/>
      <c r="AG548" s="1"/>
      <c r="AH548" s="559"/>
      <c r="AI548" s="1"/>
      <c r="AJ548" s="1"/>
      <c r="AK548" s="1"/>
      <c r="AL548" s="1"/>
      <c r="AM548" s="1"/>
      <c r="AN548" s="1"/>
      <c r="AO548" s="1"/>
      <c r="AP548" s="1"/>
    </row>
    <row r="549" spans="17:42" ht="62.25" customHeight="1">
      <c r="Q549" s="1"/>
      <c r="R549" s="1"/>
      <c r="S549" s="1"/>
      <c r="T549" s="1"/>
      <c r="U549" s="1"/>
      <c r="V549" s="1"/>
      <c r="W549" s="1"/>
      <c r="X549" s="1"/>
      <c r="Y549" s="1"/>
      <c r="Z549" s="1"/>
      <c r="AB549" s="1"/>
      <c r="AC549" s="558"/>
      <c r="AD549" s="558"/>
      <c r="AE549" s="1"/>
      <c r="AF549" s="1"/>
      <c r="AG549" s="1"/>
      <c r="AH549" s="559"/>
      <c r="AI549" s="1"/>
      <c r="AJ549" s="1"/>
      <c r="AK549" s="1"/>
      <c r="AL549" s="1"/>
      <c r="AM549" s="1"/>
      <c r="AN549" s="1"/>
      <c r="AO549" s="1"/>
      <c r="AP549" s="1"/>
    </row>
    <row r="550" spans="17:42" ht="62.25" customHeight="1">
      <c r="Q550" s="1"/>
      <c r="R550" s="1"/>
      <c r="S550" s="1"/>
      <c r="T550" s="1"/>
      <c r="U550" s="1"/>
      <c r="V550" s="1"/>
      <c r="W550" s="1"/>
      <c r="X550" s="1"/>
      <c r="Y550" s="1"/>
      <c r="Z550" s="1"/>
      <c r="AB550" s="1"/>
      <c r="AC550" s="558"/>
      <c r="AD550" s="558"/>
      <c r="AE550" s="1"/>
      <c r="AF550" s="1"/>
      <c r="AG550" s="1"/>
      <c r="AH550" s="559"/>
      <c r="AI550" s="1"/>
      <c r="AJ550" s="1"/>
      <c r="AK550" s="1"/>
      <c r="AL550" s="1"/>
      <c r="AM550" s="1"/>
      <c r="AN550" s="1"/>
      <c r="AO550" s="1"/>
      <c r="AP550" s="1"/>
    </row>
    <row r="551" spans="17:42" ht="62.25" customHeight="1">
      <c r="Q551" s="1"/>
      <c r="R551" s="1"/>
      <c r="S551" s="1"/>
      <c r="T551" s="1"/>
      <c r="U551" s="1"/>
      <c r="V551" s="1"/>
      <c r="W551" s="1"/>
      <c r="X551" s="1"/>
      <c r="Y551" s="1"/>
      <c r="Z551" s="1"/>
      <c r="AB551" s="1"/>
      <c r="AC551" s="558"/>
      <c r="AD551" s="558"/>
      <c r="AE551" s="1"/>
      <c r="AF551" s="1"/>
      <c r="AG551" s="1"/>
      <c r="AH551" s="559"/>
      <c r="AI551" s="1"/>
      <c r="AJ551" s="1"/>
      <c r="AK551" s="1"/>
      <c r="AL551" s="1"/>
      <c r="AM551" s="1"/>
      <c r="AN551" s="1"/>
      <c r="AO551" s="1"/>
      <c r="AP551" s="1"/>
    </row>
    <row r="552" spans="17:42" ht="62.25" customHeight="1">
      <c r="Q552" s="1"/>
      <c r="R552" s="1"/>
      <c r="S552" s="1"/>
      <c r="T552" s="1"/>
      <c r="U552" s="1"/>
      <c r="V552" s="1"/>
      <c r="W552" s="1"/>
      <c r="X552" s="1"/>
      <c r="Y552" s="1"/>
      <c r="Z552" s="1"/>
      <c r="AB552" s="1"/>
      <c r="AC552" s="558"/>
      <c r="AD552" s="558"/>
      <c r="AE552" s="1"/>
      <c r="AF552" s="1"/>
      <c r="AG552" s="1"/>
      <c r="AH552" s="559"/>
      <c r="AI552" s="1"/>
      <c r="AJ552" s="1"/>
      <c r="AK552" s="1"/>
      <c r="AL552" s="1"/>
      <c r="AM552" s="1"/>
      <c r="AN552" s="1"/>
      <c r="AO552" s="1"/>
      <c r="AP552" s="1"/>
    </row>
    <row r="553" spans="17:42" ht="62.25" customHeight="1">
      <c r="Q553" s="1"/>
      <c r="R553" s="1"/>
      <c r="S553" s="1"/>
      <c r="T553" s="1"/>
      <c r="U553" s="1"/>
      <c r="V553" s="1"/>
      <c r="W553" s="1"/>
      <c r="X553" s="1"/>
      <c r="Y553" s="1"/>
      <c r="Z553" s="1"/>
      <c r="AB553" s="1"/>
      <c r="AC553" s="558"/>
      <c r="AD553" s="558"/>
      <c r="AE553" s="1"/>
      <c r="AF553" s="1"/>
      <c r="AG553" s="1"/>
      <c r="AH553" s="559"/>
      <c r="AI553" s="1"/>
      <c r="AJ553" s="1"/>
      <c r="AK553" s="1"/>
      <c r="AL553" s="1"/>
      <c r="AM553" s="1"/>
      <c r="AN553" s="1"/>
      <c r="AO553" s="1"/>
      <c r="AP553" s="1"/>
    </row>
    <row r="554" spans="17:42" ht="62.25" customHeight="1">
      <c r="Q554" s="1"/>
      <c r="R554" s="1"/>
      <c r="S554" s="1"/>
      <c r="T554" s="1"/>
      <c r="U554" s="1"/>
      <c r="V554" s="1"/>
      <c r="W554" s="1"/>
      <c r="X554" s="1"/>
      <c r="Y554" s="1"/>
      <c r="Z554" s="1"/>
      <c r="AB554" s="1"/>
      <c r="AC554" s="558"/>
      <c r="AD554" s="558"/>
      <c r="AE554" s="1"/>
      <c r="AF554" s="1"/>
      <c r="AG554" s="1"/>
      <c r="AH554" s="559"/>
      <c r="AI554" s="1"/>
      <c r="AJ554" s="1"/>
      <c r="AK554" s="1"/>
      <c r="AL554" s="1"/>
      <c r="AM554" s="1"/>
      <c r="AN554" s="1"/>
      <c r="AO554" s="1"/>
      <c r="AP554" s="1"/>
    </row>
    <row r="555" spans="17:42" ht="62.25" customHeight="1">
      <c r="Q555" s="1"/>
      <c r="R555" s="1"/>
      <c r="S555" s="1"/>
      <c r="T555" s="1"/>
      <c r="U555" s="1"/>
      <c r="V555" s="1"/>
      <c r="W555" s="1"/>
      <c r="X555" s="1"/>
      <c r="Y555" s="1"/>
      <c r="Z555" s="1"/>
      <c r="AB555" s="1"/>
      <c r="AC555" s="558"/>
      <c r="AD555" s="558"/>
      <c r="AE555" s="1"/>
      <c r="AF555" s="1"/>
      <c r="AG555" s="1"/>
      <c r="AH555" s="559"/>
      <c r="AI555" s="1"/>
      <c r="AJ555" s="1"/>
      <c r="AK555" s="1"/>
      <c r="AL555" s="1"/>
      <c r="AM555" s="1"/>
      <c r="AN555" s="1"/>
      <c r="AO555" s="1"/>
      <c r="AP555" s="1"/>
    </row>
    <row r="556" spans="17:42" ht="62.25" customHeight="1">
      <c r="Q556" s="1"/>
      <c r="R556" s="1"/>
      <c r="S556" s="1"/>
      <c r="T556" s="1"/>
      <c r="U556" s="1"/>
      <c r="V556" s="1"/>
      <c r="W556" s="1"/>
      <c r="X556" s="1"/>
      <c r="Y556" s="1"/>
      <c r="Z556" s="1"/>
      <c r="AB556" s="1"/>
      <c r="AC556" s="558"/>
      <c r="AD556" s="558"/>
      <c r="AE556" s="1"/>
      <c r="AF556" s="1"/>
      <c r="AG556" s="1"/>
      <c r="AH556" s="559"/>
      <c r="AI556" s="1"/>
      <c r="AJ556" s="1"/>
      <c r="AK556" s="1"/>
      <c r="AL556" s="1"/>
      <c r="AM556" s="1"/>
      <c r="AN556" s="1"/>
      <c r="AO556" s="1"/>
      <c r="AP556" s="1"/>
    </row>
    <row r="557" spans="17:42" ht="62.25" customHeight="1">
      <c r="Q557" s="1"/>
      <c r="R557" s="1"/>
      <c r="S557" s="1"/>
      <c r="T557" s="1"/>
      <c r="U557" s="1"/>
      <c r="V557" s="1"/>
      <c r="W557" s="1"/>
      <c r="X557" s="1"/>
      <c r="Y557" s="1"/>
      <c r="Z557" s="1"/>
      <c r="AB557" s="1"/>
      <c r="AC557" s="558"/>
      <c r="AD557" s="558"/>
      <c r="AE557" s="1"/>
      <c r="AF557" s="1"/>
      <c r="AG557" s="1"/>
      <c r="AH557" s="559"/>
      <c r="AI557" s="1"/>
      <c r="AJ557" s="1"/>
      <c r="AK557" s="1"/>
      <c r="AL557" s="1"/>
      <c r="AM557" s="1"/>
      <c r="AN557" s="1"/>
      <c r="AO557" s="1"/>
      <c r="AP557" s="1"/>
    </row>
    <row r="558" spans="17:42" ht="62.25" customHeight="1">
      <c r="Q558" s="1"/>
      <c r="R558" s="1"/>
      <c r="S558" s="1"/>
      <c r="T558" s="1"/>
      <c r="U558" s="1"/>
      <c r="V558" s="1"/>
      <c r="W558" s="1"/>
      <c r="X558" s="1"/>
      <c r="Y558" s="1"/>
      <c r="Z558" s="1"/>
      <c r="AB558" s="1"/>
      <c r="AC558" s="558"/>
      <c r="AD558" s="558"/>
      <c r="AE558" s="1"/>
      <c r="AF558" s="1"/>
      <c r="AG558" s="1"/>
      <c r="AH558" s="559"/>
      <c r="AI558" s="1"/>
      <c r="AJ558" s="1"/>
      <c r="AK558" s="1"/>
      <c r="AL558" s="1"/>
      <c r="AM558" s="1"/>
      <c r="AN558" s="1"/>
      <c r="AO558" s="1"/>
      <c r="AP558" s="1"/>
    </row>
    <row r="559" spans="17:42" ht="62.25" customHeight="1">
      <c r="Q559" s="1"/>
      <c r="R559" s="1"/>
      <c r="S559" s="1"/>
      <c r="T559" s="1"/>
      <c r="U559" s="1"/>
      <c r="V559" s="1"/>
      <c r="W559" s="1"/>
      <c r="X559" s="1"/>
      <c r="Y559" s="1"/>
      <c r="Z559" s="1"/>
      <c r="AB559" s="1"/>
      <c r="AC559" s="558"/>
      <c r="AD559" s="558"/>
      <c r="AE559" s="1"/>
      <c r="AF559" s="1"/>
      <c r="AG559" s="1"/>
      <c r="AH559" s="559"/>
      <c r="AI559" s="1"/>
      <c r="AJ559" s="1"/>
      <c r="AK559" s="1"/>
      <c r="AL559" s="1"/>
      <c r="AM559" s="1"/>
      <c r="AN559" s="1"/>
      <c r="AO559" s="1"/>
      <c r="AP559" s="1"/>
    </row>
    <row r="560" spans="17:42" ht="62.25" customHeight="1">
      <c r="Q560" s="1"/>
      <c r="R560" s="1"/>
      <c r="S560" s="1"/>
      <c r="T560" s="1"/>
      <c r="U560" s="1"/>
      <c r="V560" s="1"/>
      <c r="W560" s="1"/>
      <c r="X560" s="1"/>
      <c r="Y560" s="1"/>
      <c r="Z560" s="1"/>
      <c r="AB560" s="1"/>
      <c r="AC560" s="558"/>
      <c r="AD560" s="558"/>
      <c r="AE560" s="1"/>
      <c r="AF560" s="1"/>
      <c r="AG560" s="1"/>
      <c r="AH560" s="559"/>
      <c r="AI560" s="1"/>
      <c r="AJ560" s="1"/>
      <c r="AK560" s="1"/>
      <c r="AL560" s="1"/>
      <c r="AM560" s="1"/>
      <c r="AN560" s="1"/>
      <c r="AO560" s="1"/>
      <c r="AP560" s="1"/>
    </row>
    <row r="561" spans="17:42" ht="62.25" customHeight="1">
      <c r="Q561" s="1"/>
      <c r="R561" s="1"/>
      <c r="S561" s="1"/>
      <c r="T561" s="1"/>
      <c r="U561" s="1"/>
      <c r="V561" s="1"/>
      <c r="W561" s="1"/>
      <c r="X561" s="1"/>
      <c r="Y561" s="1"/>
      <c r="Z561" s="1"/>
      <c r="AB561" s="1"/>
      <c r="AC561" s="558"/>
      <c r="AD561" s="558"/>
      <c r="AE561" s="1"/>
      <c r="AF561" s="1"/>
      <c r="AG561" s="1"/>
      <c r="AH561" s="559"/>
      <c r="AI561" s="1"/>
      <c r="AJ561" s="1"/>
      <c r="AK561" s="1"/>
      <c r="AL561" s="1"/>
      <c r="AM561" s="1"/>
      <c r="AN561" s="1"/>
      <c r="AO561" s="1"/>
      <c r="AP561" s="1"/>
    </row>
    <row r="562" spans="17:42" ht="62.25" customHeight="1">
      <c r="Q562" s="1"/>
      <c r="R562" s="1"/>
      <c r="S562" s="1"/>
      <c r="T562" s="1"/>
      <c r="U562" s="1"/>
      <c r="V562" s="1"/>
      <c r="W562" s="1"/>
      <c r="X562" s="1"/>
      <c r="Y562" s="1"/>
      <c r="Z562" s="1"/>
      <c r="AB562" s="1"/>
      <c r="AC562" s="558"/>
      <c r="AD562" s="558"/>
      <c r="AE562" s="1"/>
      <c r="AF562" s="1"/>
      <c r="AG562" s="1"/>
      <c r="AH562" s="559"/>
      <c r="AI562" s="1"/>
      <c r="AJ562" s="1"/>
      <c r="AK562" s="1"/>
      <c r="AL562" s="1"/>
      <c r="AM562" s="1"/>
      <c r="AN562" s="1"/>
      <c r="AO562" s="1"/>
      <c r="AP562" s="1"/>
    </row>
    <row r="563" spans="17:42" ht="62.25" customHeight="1">
      <c r="Q563" s="1"/>
      <c r="R563" s="1"/>
      <c r="S563" s="1"/>
      <c r="T563" s="1"/>
      <c r="U563" s="1"/>
      <c r="V563" s="1"/>
      <c r="W563" s="1"/>
      <c r="X563" s="1"/>
      <c r="Y563" s="1"/>
      <c r="Z563" s="1"/>
      <c r="AB563" s="1"/>
      <c r="AC563" s="558"/>
      <c r="AD563" s="558"/>
      <c r="AE563" s="1"/>
      <c r="AF563" s="1"/>
      <c r="AG563" s="1"/>
      <c r="AH563" s="559"/>
      <c r="AI563" s="1"/>
      <c r="AJ563" s="1"/>
      <c r="AK563" s="1"/>
      <c r="AL563" s="1"/>
      <c r="AM563" s="1"/>
      <c r="AN563" s="1"/>
      <c r="AO563" s="1"/>
      <c r="AP563" s="1"/>
    </row>
    <row r="564" spans="17:42" ht="62.25" customHeight="1">
      <c r="Q564" s="1"/>
      <c r="R564" s="1"/>
      <c r="S564" s="1"/>
      <c r="T564" s="1"/>
      <c r="U564" s="1"/>
      <c r="V564" s="1"/>
      <c r="W564" s="1"/>
      <c r="X564" s="1"/>
      <c r="Y564" s="1"/>
      <c r="Z564" s="1"/>
      <c r="AB564" s="1"/>
      <c r="AC564" s="558"/>
      <c r="AD564" s="558"/>
      <c r="AE564" s="1"/>
      <c r="AF564" s="1"/>
      <c r="AG564" s="1"/>
      <c r="AH564" s="559"/>
      <c r="AI564" s="1"/>
      <c r="AJ564" s="1"/>
      <c r="AK564" s="1"/>
      <c r="AL564" s="1"/>
      <c r="AM564" s="1"/>
      <c r="AN564" s="1"/>
      <c r="AO564" s="1"/>
      <c r="AP564" s="1"/>
    </row>
    <row r="565" spans="17:42" ht="62.25" customHeight="1">
      <c r="Q565" s="1"/>
      <c r="R565" s="1"/>
      <c r="S565" s="1"/>
      <c r="T565" s="1"/>
      <c r="U565" s="1"/>
      <c r="V565" s="1"/>
      <c r="W565" s="1"/>
      <c r="X565" s="1"/>
      <c r="Y565" s="1"/>
      <c r="Z565" s="1"/>
      <c r="AB565" s="1"/>
      <c r="AC565" s="558"/>
      <c r="AD565" s="558"/>
      <c r="AE565" s="1"/>
      <c r="AF565" s="1"/>
      <c r="AG565" s="1"/>
      <c r="AH565" s="559"/>
      <c r="AI565" s="1"/>
      <c r="AJ565" s="1"/>
      <c r="AK565" s="1"/>
      <c r="AL565" s="1"/>
      <c r="AM565" s="1"/>
      <c r="AN565" s="1"/>
      <c r="AO565" s="1"/>
      <c r="AP565" s="1"/>
    </row>
    <row r="566" spans="17:42" ht="62.25" customHeight="1">
      <c r="Q566" s="1"/>
      <c r="R566" s="1"/>
      <c r="S566" s="1"/>
      <c r="T566" s="1"/>
      <c r="U566" s="1"/>
      <c r="V566" s="1"/>
      <c r="W566" s="1"/>
      <c r="X566" s="1"/>
      <c r="Y566" s="1"/>
      <c r="Z566" s="1"/>
      <c r="AB566" s="1"/>
      <c r="AC566" s="558"/>
      <c r="AD566" s="558"/>
      <c r="AE566" s="1"/>
      <c r="AF566" s="1"/>
      <c r="AG566" s="1"/>
      <c r="AH566" s="559"/>
      <c r="AI566" s="1"/>
      <c r="AJ566" s="1"/>
      <c r="AK566" s="1"/>
      <c r="AL566" s="1"/>
      <c r="AM566" s="1"/>
      <c r="AN566" s="1"/>
      <c r="AO566" s="1"/>
      <c r="AP566" s="1"/>
    </row>
    <row r="567" spans="17:42" ht="62.25" customHeight="1">
      <c r="Q567" s="1"/>
      <c r="R567" s="1"/>
      <c r="S567" s="1"/>
      <c r="T567" s="1"/>
      <c r="U567" s="1"/>
      <c r="V567" s="1"/>
      <c r="W567" s="1"/>
      <c r="X567" s="1"/>
      <c r="Y567" s="1"/>
      <c r="Z567" s="1"/>
      <c r="AB567" s="1"/>
      <c r="AC567" s="558"/>
      <c r="AD567" s="558"/>
      <c r="AE567" s="1"/>
      <c r="AF567" s="1"/>
      <c r="AG567" s="1"/>
      <c r="AH567" s="559"/>
      <c r="AI567" s="1"/>
      <c r="AJ567" s="1"/>
      <c r="AK567" s="1"/>
      <c r="AL567" s="1"/>
      <c r="AM567" s="1"/>
      <c r="AN567" s="1"/>
      <c r="AO567" s="1"/>
      <c r="AP567" s="1"/>
    </row>
    <row r="568" spans="17:42" ht="62.25" customHeight="1">
      <c r="Q568" s="1"/>
      <c r="R568" s="1"/>
      <c r="S568" s="1"/>
      <c r="T568" s="1"/>
      <c r="U568" s="1"/>
      <c r="V568" s="1"/>
      <c r="W568" s="1"/>
      <c r="X568" s="1"/>
      <c r="Y568" s="1"/>
      <c r="Z568" s="1"/>
      <c r="AB568" s="1"/>
      <c r="AC568" s="558"/>
      <c r="AD568" s="558"/>
      <c r="AE568" s="1"/>
      <c r="AF568" s="1"/>
      <c r="AG568" s="1"/>
      <c r="AH568" s="559"/>
      <c r="AI568" s="1"/>
      <c r="AJ568" s="1"/>
      <c r="AK568" s="1"/>
      <c r="AL568" s="1"/>
      <c r="AM568" s="1"/>
      <c r="AN568" s="1"/>
      <c r="AO568" s="1"/>
      <c r="AP568" s="1"/>
    </row>
    <row r="569" spans="17:42" ht="62.25" customHeight="1">
      <c r="Q569" s="1"/>
      <c r="R569" s="1"/>
      <c r="S569" s="1"/>
      <c r="T569" s="1"/>
      <c r="U569" s="1"/>
      <c r="V569" s="1"/>
      <c r="W569" s="1"/>
      <c r="X569" s="1"/>
      <c r="Y569" s="1"/>
      <c r="Z569" s="1"/>
      <c r="AB569" s="1"/>
      <c r="AC569" s="558"/>
      <c r="AD569" s="558"/>
      <c r="AE569" s="1"/>
      <c r="AF569" s="1"/>
      <c r="AG569" s="1"/>
      <c r="AH569" s="559"/>
      <c r="AI569" s="1"/>
      <c r="AJ569" s="1"/>
      <c r="AK569" s="1"/>
      <c r="AL569" s="1"/>
      <c r="AM569" s="1"/>
      <c r="AN569" s="1"/>
      <c r="AO569" s="1"/>
      <c r="AP569" s="1"/>
    </row>
    <row r="570" spans="17:42" ht="62.25" customHeight="1">
      <c r="Q570" s="1"/>
      <c r="R570" s="1"/>
      <c r="S570" s="1"/>
      <c r="T570" s="1"/>
      <c r="U570" s="1"/>
      <c r="V570" s="1"/>
      <c r="W570" s="1"/>
      <c r="X570" s="1"/>
      <c r="Y570" s="1"/>
      <c r="Z570" s="1"/>
      <c r="AB570" s="1"/>
      <c r="AC570" s="558"/>
      <c r="AD570" s="558"/>
      <c r="AE570" s="1"/>
      <c r="AF570" s="1"/>
      <c r="AG570" s="1"/>
      <c r="AH570" s="559"/>
      <c r="AI570" s="1"/>
      <c r="AJ570" s="1"/>
      <c r="AK570" s="1"/>
      <c r="AL570" s="1"/>
      <c r="AM570" s="1"/>
      <c r="AN570" s="1"/>
      <c r="AO570" s="1"/>
      <c r="AP570" s="1"/>
    </row>
    <row r="571" spans="17:42" ht="62.25" customHeight="1">
      <c r="Q571" s="1"/>
      <c r="R571" s="1"/>
      <c r="S571" s="1"/>
      <c r="T571" s="1"/>
      <c r="U571" s="1"/>
      <c r="V571" s="1"/>
      <c r="W571" s="1"/>
      <c r="X571" s="1"/>
      <c r="Y571" s="1"/>
      <c r="Z571" s="1"/>
      <c r="AB571" s="1"/>
      <c r="AC571" s="558"/>
      <c r="AD571" s="558"/>
      <c r="AE571" s="1"/>
      <c r="AF571" s="1"/>
      <c r="AG571" s="1"/>
      <c r="AH571" s="559"/>
      <c r="AI571" s="1"/>
      <c r="AJ571" s="1"/>
      <c r="AK571" s="1"/>
      <c r="AL571" s="1"/>
      <c r="AM571" s="1"/>
      <c r="AN571" s="1"/>
      <c r="AO571" s="1"/>
      <c r="AP571" s="1"/>
    </row>
    <row r="572" spans="17:42" ht="62.25" customHeight="1">
      <c r="Q572" s="1"/>
      <c r="R572" s="1"/>
      <c r="S572" s="1"/>
      <c r="T572" s="1"/>
      <c r="U572" s="1"/>
      <c r="V572" s="1"/>
      <c r="W572" s="1"/>
      <c r="X572" s="1"/>
      <c r="Y572" s="1"/>
      <c r="Z572" s="1"/>
      <c r="AB572" s="1"/>
      <c r="AC572" s="558"/>
      <c r="AD572" s="558"/>
      <c r="AE572" s="1"/>
      <c r="AF572" s="1"/>
      <c r="AG572" s="1"/>
      <c r="AH572" s="559"/>
      <c r="AI572" s="1"/>
      <c r="AJ572" s="1"/>
      <c r="AK572" s="1"/>
      <c r="AL572" s="1"/>
      <c r="AM572" s="1"/>
      <c r="AN572" s="1"/>
      <c r="AO572" s="1"/>
      <c r="AP572" s="1"/>
    </row>
    <row r="573" spans="17:42" ht="62.25" customHeight="1">
      <c r="Q573" s="1"/>
      <c r="R573" s="1"/>
      <c r="S573" s="1"/>
      <c r="T573" s="1"/>
      <c r="U573" s="1"/>
      <c r="V573" s="1"/>
      <c r="W573" s="1"/>
      <c r="X573" s="1"/>
      <c r="Y573" s="1"/>
      <c r="Z573" s="1"/>
      <c r="AB573" s="1"/>
      <c r="AC573" s="558"/>
      <c r="AD573" s="558"/>
      <c r="AE573" s="1"/>
      <c r="AF573" s="1"/>
      <c r="AG573" s="1"/>
      <c r="AH573" s="559"/>
      <c r="AI573" s="1"/>
      <c r="AJ573" s="1"/>
      <c r="AK573" s="1"/>
      <c r="AL573" s="1"/>
      <c r="AM573" s="1"/>
      <c r="AN573" s="1"/>
      <c r="AO573" s="1"/>
      <c r="AP573" s="1"/>
    </row>
    <row r="574" spans="17:42" ht="62.25" customHeight="1">
      <c r="Q574" s="1"/>
      <c r="R574" s="1"/>
      <c r="S574" s="1"/>
      <c r="T574" s="1"/>
      <c r="U574" s="1"/>
      <c r="V574" s="1"/>
      <c r="W574" s="1"/>
      <c r="X574" s="1"/>
      <c r="Y574" s="1"/>
      <c r="Z574" s="1"/>
      <c r="AB574" s="1"/>
      <c r="AC574" s="558"/>
      <c r="AD574" s="558"/>
      <c r="AE574" s="1"/>
      <c r="AF574" s="1"/>
      <c r="AG574" s="1"/>
      <c r="AH574" s="559"/>
      <c r="AI574" s="1"/>
      <c r="AJ574" s="1"/>
      <c r="AK574" s="1"/>
      <c r="AL574" s="1"/>
      <c r="AM574" s="1"/>
      <c r="AN574" s="1"/>
      <c r="AO574" s="1"/>
      <c r="AP574" s="1"/>
    </row>
    <row r="575" spans="17:42" ht="62.25" customHeight="1">
      <c r="Q575" s="1"/>
      <c r="R575" s="1"/>
      <c r="S575" s="1"/>
      <c r="T575" s="1"/>
      <c r="U575" s="1"/>
      <c r="V575" s="1"/>
      <c r="W575" s="1"/>
      <c r="X575" s="1"/>
      <c r="Y575" s="1"/>
      <c r="Z575" s="1"/>
      <c r="AB575" s="1"/>
      <c r="AC575" s="558"/>
      <c r="AD575" s="558"/>
      <c r="AE575" s="1"/>
      <c r="AF575" s="1"/>
      <c r="AG575" s="1"/>
      <c r="AH575" s="559"/>
      <c r="AI575" s="1"/>
      <c r="AJ575" s="1"/>
      <c r="AK575" s="1"/>
      <c r="AL575" s="1"/>
      <c r="AM575" s="1"/>
      <c r="AN575" s="1"/>
      <c r="AO575" s="1"/>
      <c r="AP575" s="1"/>
    </row>
    <row r="576" spans="17:42" ht="62.25" customHeight="1">
      <c r="Q576" s="1"/>
      <c r="R576" s="1"/>
      <c r="S576" s="1"/>
      <c r="T576" s="1"/>
      <c r="U576" s="1"/>
      <c r="V576" s="1"/>
      <c r="W576" s="1"/>
      <c r="X576" s="1"/>
      <c r="Y576" s="1"/>
      <c r="Z576" s="1"/>
      <c r="AB576" s="1"/>
      <c r="AC576" s="558"/>
      <c r="AD576" s="558"/>
      <c r="AE576" s="1"/>
      <c r="AF576" s="1"/>
      <c r="AG576" s="1"/>
      <c r="AH576" s="559"/>
      <c r="AI576" s="1"/>
      <c r="AJ576" s="1"/>
      <c r="AK576" s="1"/>
      <c r="AL576" s="1"/>
      <c r="AM576" s="1"/>
      <c r="AN576" s="1"/>
      <c r="AO576" s="1"/>
      <c r="AP576" s="1"/>
    </row>
    <row r="577" spans="17:42" ht="62.25" customHeight="1">
      <c r="Q577" s="1"/>
      <c r="R577" s="1"/>
      <c r="S577" s="1"/>
      <c r="T577" s="1"/>
      <c r="U577" s="1"/>
      <c r="V577" s="1"/>
      <c r="W577" s="1"/>
      <c r="X577" s="1"/>
      <c r="Y577" s="1"/>
      <c r="Z577" s="1"/>
      <c r="AB577" s="1"/>
      <c r="AC577" s="558"/>
      <c r="AD577" s="558"/>
      <c r="AE577" s="1"/>
      <c r="AF577" s="1"/>
      <c r="AG577" s="1"/>
      <c r="AH577" s="559"/>
      <c r="AI577" s="1"/>
      <c r="AJ577" s="1"/>
      <c r="AK577" s="1"/>
      <c r="AL577" s="1"/>
      <c r="AM577" s="1"/>
      <c r="AN577" s="1"/>
      <c r="AO577" s="1"/>
      <c r="AP577" s="1"/>
    </row>
    <row r="578" spans="17:42" ht="62.25" customHeight="1">
      <c r="Q578" s="1"/>
      <c r="R578" s="1"/>
      <c r="S578" s="1"/>
      <c r="T578" s="1"/>
      <c r="U578" s="1"/>
      <c r="V578" s="1"/>
      <c r="W578" s="1"/>
      <c r="X578" s="1"/>
      <c r="Y578" s="1"/>
      <c r="Z578" s="1"/>
      <c r="AB578" s="1"/>
      <c r="AC578" s="558"/>
      <c r="AD578" s="558"/>
      <c r="AE578" s="1"/>
      <c r="AF578" s="1"/>
      <c r="AG578" s="1"/>
      <c r="AH578" s="559"/>
      <c r="AI578" s="1"/>
      <c r="AJ578" s="1"/>
      <c r="AK578" s="1"/>
      <c r="AL578" s="1"/>
      <c r="AM578" s="1"/>
      <c r="AN578" s="1"/>
      <c r="AO578" s="1"/>
      <c r="AP578" s="1"/>
    </row>
    <row r="579" spans="17:42" ht="62.25" customHeight="1">
      <c r="Q579" s="1"/>
      <c r="R579" s="1"/>
      <c r="S579" s="1"/>
      <c r="T579" s="1"/>
      <c r="U579" s="1"/>
      <c r="V579" s="1"/>
      <c r="W579" s="1"/>
      <c r="X579" s="1"/>
      <c r="Y579" s="1"/>
      <c r="Z579" s="1"/>
      <c r="AB579" s="1"/>
      <c r="AC579" s="558"/>
      <c r="AD579" s="558"/>
      <c r="AE579" s="1"/>
      <c r="AF579" s="1"/>
      <c r="AG579" s="1"/>
      <c r="AH579" s="559"/>
      <c r="AI579" s="1"/>
      <c r="AJ579" s="1"/>
      <c r="AK579" s="1"/>
      <c r="AL579" s="1"/>
      <c r="AM579" s="1"/>
      <c r="AN579" s="1"/>
      <c r="AO579" s="1"/>
      <c r="AP579" s="1"/>
    </row>
    <row r="580" spans="17:42" ht="62.25" customHeight="1">
      <c r="Q580" s="1"/>
      <c r="R580" s="1"/>
      <c r="S580" s="1"/>
      <c r="T580" s="1"/>
      <c r="U580" s="1"/>
      <c r="V580" s="1"/>
      <c r="W580" s="1"/>
      <c r="X580" s="1"/>
      <c r="Y580" s="1"/>
      <c r="Z580" s="1"/>
      <c r="AB580" s="1"/>
      <c r="AC580" s="558"/>
      <c r="AD580" s="558"/>
      <c r="AE580" s="1"/>
      <c r="AF580" s="1"/>
      <c r="AG580" s="1"/>
      <c r="AH580" s="559"/>
      <c r="AI580" s="1"/>
      <c r="AJ580" s="1"/>
      <c r="AK580" s="1"/>
      <c r="AL580" s="1"/>
      <c r="AM580" s="1"/>
      <c r="AN580" s="1"/>
      <c r="AO580" s="1"/>
      <c r="AP580" s="1"/>
    </row>
    <row r="581" spans="17:42" ht="62.25" customHeight="1">
      <c r="Q581" s="1"/>
      <c r="R581" s="1"/>
      <c r="S581" s="1"/>
      <c r="T581" s="1"/>
      <c r="U581" s="1"/>
      <c r="V581" s="1"/>
      <c r="W581" s="1"/>
      <c r="X581" s="1"/>
      <c r="Y581" s="1"/>
      <c r="Z581" s="1"/>
      <c r="AB581" s="1"/>
      <c r="AC581" s="558"/>
      <c r="AD581" s="558"/>
      <c r="AE581" s="1"/>
      <c r="AF581" s="1"/>
      <c r="AG581" s="1"/>
      <c r="AH581" s="559"/>
      <c r="AI581" s="1"/>
      <c r="AJ581" s="1"/>
      <c r="AK581" s="1"/>
      <c r="AL581" s="1"/>
      <c r="AM581" s="1"/>
      <c r="AN581" s="1"/>
      <c r="AO581" s="1"/>
      <c r="AP581" s="1"/>
    </row>
    <row r="582" spans="17:42" ht="62.25" customHeight="1">
      <c r="Q582" s="1"/>
      <c r="R582" s="1"/>
      <c r="S582" s="1"/>
      <c r="T582" s="1"/>
      <c r="U582" s="1"/>
      <c r="V582" s="1"/>
      <c r="W582" s="1"/>
      <c r="X582" s="1"/>
      <c r="Y582" s="1"/>
      <c r="Z582" s="1"/>
      <c r="AB582" s="1"/>
      <c r="AC582" s="558"/>
      <c r="AD582" s="558"/>
      <c r="AE582" s="1"/>
      <c r="AF582" s="1"/>
      <c r="AG582" s="1"/>
      <c r="AH582" s="559"/>
      <c r="AI582" s="1"/>
      <c r="AJ582" s="1"/>
      <c r="AK582" s="1"/>
      <c r="AL582" s="1"/>
      <c r="AM582" s="1"/>
      <c r="AN582" s="1"/>
      <c r="AO582" s="1"/>
      <c r="AP582" s="1"/>
    </row>
    <row r="583" spans="17:42" ht="62.25" customHeight="1">
      <c r="Q583" s="1"/>
      <c r="R583" s="1"/>
      <c r="S583" s="1"/>
      <c r="T583" s="1"/>
      <c r="U583" s="1"/>
      <c r="V583" s="1"/>
      <c r="W583" s="1"/>
      <c r="X583" s="1"/>
      <c r="Y583" s="1"/>
      <c r="Z583" s="1"/>
      <c r="AB583" s="1"/>
      <c r="AC583" s="558"/>
      <c r="AD583" s="558"/>
      <c r="AE583" s="1"/>
      <c r="AF583" s="1"/>
      <c r="AG583" s="1"/>
      <c r="AH583" s="559"/>
      <c r="AI583" s="1"/>
      <c r="AJ583" s="1"/>
      <c r="AK583" s="1"/>
      <c r="AL583" s="1"/>
      <c r="AM583" s="1"/>
      <c r="AN583" s="1"/>
      <c r="AO583" s="1"/>
      <c r="AP583" s="1"/>
    </row>
    <row r="584" spans="17:42" ht="62.25" customHeight="1">
      <c r="Q584" s="1"/>
      <c r="R584" s="1"/>
      <c r="S584" s="1"/>
      <c r="T584" s="1"/>
      <c r="U584" s="1"/>
      <c r="V584" s="1"/>
      <c r="W584" s="1"/>
      <c r="X584" s="1"/>
      <c r="Y584" s="1"/>
      <c r="Z584" s="1"/>
      <c r="AB584" s="1"/>
      <c r="AC584" s="558"/>
      <c r="AD584" s="558"/>
      <c r="AE584" s="1"/>
      <c r="AF584" s="1"/>
      <c r="AG584" s="1"/>
      <c r="AH584" s="559"/>
      <c r="AI584" s="1"/>
      <c r="AJ584" s="1"/>
      <c r="AK584" s="1"/>
      <c r="AL584" s="1"/>
      <c r="AM584" s="1"/>
      <c r="AN584" s="1"/>
      <c r="AO584" s="1"/>
      <c r="AP584" s="1"/>
    </row>
    <row r="585" spans="17:42" ht="62.25" customHeight="1">
      <c r="Q585" s="1"/>
      <c r="R585" s="1"/>
      <c r="S585" s="1"/>
      <c r="T585" s="1"/>
      <c r="U585" s="1"/>
      <c r="V585" s="1"/>
      <c r="W585" s="1"/>
      <c r="X585" s="1"/>
      <c r="Y585" s="1"/>
      <c r="Z585" s="1"/>
      <c r="AB585" s="1"/>
      <c r="AC585" s="558"/>
      <c r="AD585" s="558"/>
      <c r="AE585" s="1"/>
      <c r="AF585" s="1"/>
      <c r="AG585" s="1"/>
      <c r="AH585" s="559"/>
      <c r="AI585" s="1"/>
      <c r="AJ585" s="1"/>
      <c r="AK585" s="1"/>
      <c r="AL585" s="1"/>
      <c r="AM585" s="1"/>
      <c r="AN585" s="1"/>
      <c r="AO585" s="1"/>
      <c r="AP585" s="1"/>
    </row>
    <row r="586" spans="17:42" ht="62.25" customHeight="1">
      <c r="Q586" s="1"/>
      <c r="R586" s="1"/>
      <c r="S586" s="1"/>
      <c r="T586" s="1"/>
      <c r="U586" s="1"/>
      <c r="V586" s="1"/>
      <c r="W586" s="1"/>
      <c r="X586" s="1"/>
      <c r="Y586" s="1"/>
      <c r="Z586" s="1"/>
      <c r="AB586" s="1"/>
      <c r="AC586" s="558"/>
      <c r="AD586" s="558"/>
      <c r="AE586" s="1"/>
      <c r="AF586" s="1"/>
      <c r="AG586" s="1"/>
      <c r="AH586" s="559"/>
      <c r="AI586" s="1"/>
      <c r="AJ586" s="1"/>
      <c r="AK586" s="1"/>
      <c r="AL586" s="1"/>
      <c r="AM586" s="1"/>
      <c r="AN586" s="1"/>
      <c r="AO586" s="1"/>
      <c r="AP586" s="1"/>
    </row>
    <row r="587" spans="17:42" ht="62.25" customHeight="1">
      <c r="Q587" s="1"/>
      <c r="R587" s="1"/>
      <c r="S587" s="1"/>
      <c r="T587" s="1"/>
      <c r="U587" s="1"/>
      <c r="V587" s="1"/>
      <c r="W587" s="1"/>
      <c r="X587" s="1"/>
      <c r="Y587" s="1"/>
      <c r="Z587" s="1"/>
      <c r="AB587" s="1"/>
      <c r="AC587" s="558"/>
      <c r="AD587" s="558"/>
      <c r="AE587" s="1"/>
      <c r="AF587" s="1"/>
      <c r="AG587" s="1"/>
      <c r="AH587" s="559"/>
      <c r="AI587" s="1"/>
      <c r="AJ587" s="1"/>
      <c r="AK587" s="1"/>
      <c r="AL587" s="1"/>
      <c r="AM587" s="1"/>
      <c r="AN587" s="1"/>
      <c r="AO587" s="1"/>
      <c r="AP587" s="1"/>
    </row>
    <row r="588" spans="17:42" ht="62.25" customHeight="1">
      <c r="Q588" s="1"/>
      <c r="R588" s="1"/>
      <c r="S588" s="1"/>
      <c r="T588" s="1"/>
      <c r="U588" s="1"/>
      <c r="V588" s="1"/>
      <c r="W588" s="1"/>
      <c r="X588" s="1"/>
      <c r="Y588" s="1"/>
      <c r="Z588" s="1"/>
      <c r="AB588" s="1"/>
      <c r="AC588" s="558"/>
      <c r="AD588" s="558"/>
      <c r="AE588" s="1"/>
      <c r="AF588" s="1"/>
      <c r="AG588" s="1"/>
      <c r="AH588" s="559"/>
      <c r="AI588" s="1"/>
      <c r="AJ588" s="1"/>
      <c r="AK588" s="1"/>
      <c r="AL588" s="1"/>
      <c r="AM588" s="1"/>
      <c r="AN588" s="1"/>
      <c r="AO588" s="1"/>
      <c r="AP588" s="1"/>
    </row>
    <row r="589" spans="17:42" ht="62.25" customHeight="1">
      <c r="Q589" s="1"/>
      <c r="R589" s="1"/>
      <c r="S589" s="1"/>
      <c r="T589" s="1"/>
      <c r="U589" s="1"/>
      <c r="V589" s="1"/>
      <c r="W589" s="1"/>
      <c r="X589" s="1"/>
      <c r="Y589" s="1"/>
      <c r="Z589" s="1"/>
      <c r="AB589" s="1"/>
      <c r="AC589" s="558"/>
      <c r="AD589" s="558"/>
      <c r="AE589" s="1"/>
      <c r="AF589" s="1"/>
      <c r="AG589" s="1"/>
      <c r="AH589" s="559"/>
      <c r="AI589" s="1"/>
      <c r="AJ589" s="1"/>
      <c r="AK589" s="1"/>
      <c r="AL589" s="1"/>
      <c r="AM589" s="1"/>
      <c r="AN589" s="1"/>
      <c r="AO589" s="1"/>
      <c r="AP589" s="1"/>
    </row>
    <row r="590" spans="17:42" ht="62.25" customHeight="1">
      <c r="Q590" s="1"/>
      <c r="R590" s="1"/>
      <c r="S590" s="1"/>
      <c r="T590" s="1"/>
      <c r="U590" s="1"/>
      <c r="V590" s="1"/>
      <c r="W590" s="1"/>
      <c r="X590" s="1"/>
      <c r="Y590" s="1"/>
      <c r="Z590" s="1"/>
      <c r="AB590" s="1"/>
      <c r="AC590" s="558"/>
      <c r="AD590" s="558"/>
      <c r="AE590" s="1"/>
      <c r="AF590" s="1"/>
      <c r="AG590" s="1"/>
      <c r="AH590" s="559"/>
      <c r="AI590" s="1"/>
      <c r="AJ590" s="1"/>
      <c r="AK590" s="1"/>
      <c r="AL590" s="1"/>
      <c r="AM590" s="1"/>
      <c r="AN590" s="1"/>
      <c r="AO590" s="1"/>
      <c r="AP590" s="1"/>
    </row>
    <row r="591" spans="17:42" ht="62.25" customHeight="1">
      <c r="Q591" s="1"/>
      <c r="R591" s="1"/>
      <c r="S591" s="1"/>
      <c r="T591" s="1"/>
      <c r="U591" s="1"/>
      <c r="V591" s="1"/>
      <c r="W591" s="1"/>
      <c r="X591" s="1"/>
      <c r="Y591" s="1"/>
      <c r="Z591" s="1"/>
      <c r="AB591" s="1"/>
      <c r="AC591" s="558"/>
      <c r="AD591" s="558"/>
      <c r="AE591" s="1"/>
      <c r="AF591" s="1"/>
      <c r="AG591" s="1"/>
      <c r="AH591" s="559"/>
      <c r="AI591" s="1"/>
      <c r="AJ591" s="1"/>
      <c r="AK591" s="1"/>
      <c r="AL591" s="1"/>
      <c r="AM591" s="1"/>
      <c r="AN591" s="1"/>
      <c r="AO591" s="1"/>
      <c r="AP591" s="1"/>
    </row>
    <row r="592" spans="17:42" ht="62.25" customHeight="1">
      <c r="Q592" s="1"/>
      <c r="R592" s="1"/>
      <c r="S592" s="1"/>
      <c r="T592" s="1"/>
      <c r="U592" s="1"/>
      <c r="V592" s="1"/>
      <c r="W592" s="1"/>
      <c r="X592" s="1"/>
      <c r="Y592" s="1"/>
      <c r="Z592" s="1"/>
      <c r="AB592" s="1"/>
      <c r="AC592" s="558"/>
      <c r="AD592" s="558"/>
      <c r="AE592" s="1"/>
      <c r="AF592" s="1"/>
      <c r="AG592" s="1"/>
      <c r="AH592" s="559"/>
      <c r="AI592" s="1"/>
      <c r="AJ592" s="1"/>
      <c r="AK592" s="1"/>
      <c r="AL592" s="1"/>
      <c r="AM592" s="1"/>
      <c r="AN592" s="1"/>
      <c r="AO592" s="1"/>
      <c r="AP592" s="1"/>
    </row>
    <row r="593" spans="17:42" ht="62.25" customHeight="1">
      <c r="Q593" s="1"/>
      <c r="R593" s="1"/>
      <c r="S593" s="1"/>
      <c r="T593" s="1"/>
      <c r="U593" s="1"/>
      <c r="V593" s="1"/>
      <c r="W593" s="1"/>
      <c r="X593" s="1"/>
      <c r="Y593" s="1"/>
      <c r="Z593" s="1"/>
      <c r="AB593" s="1"/>
      <c r="AC593" s="558"/>
      <c r="AD593" s="558"/>
      <c r="AE593" s="1"/>
      <c r="AF593" s="1"/>
      <c r="AG593" s="1"/>
      <c r="AH593" s="559"/>
      <c r="AI593" s="1"/>
      <c r="AJ593" s="1"/>
      <c r="AK593" s="1"/>
      <c r="AL593" s="1"/>
      <c r="AM593" s="1"/>
      <c r="AN593" s="1"/>
      <c r="AO593" s="1"/>
      <c r="AP593" s="1"/>
    </row>
    <row r="594" spans="17:42" ht="62.25" customHeight="1">
      <c r="Q594" s="1"/>
      <c r="R594" s="1"/>
      <c r="S594" s="1"/>
      <c r="T594" s="1"/>
      <c r="U594" s="1"/>
      <c r="V594" s="1"/>
      <c r="W594" s="1"/>
      <c r="X594" s="1"/>
      <c r="Y594" s="1"/>
      <c r="Z594" s="1"/>
      <c r="AB594" s="1"/>
      <c r="AC594" s="558"/>
      <c r="AD594" s="558"/>
      <c r="AE594" s="1"/>
      <c r="AF594" s="1"/>
      <c r="AG594" s="1"/>
      <c r="AH594" s="559"/>
      <c r="AI594" s="1"/>
      <c r="AJ594" s="1"/>
      <c r="AK594" s="1"/>
      <c r="AL594" s="1"/>
      <c r="AM594" s="1"/>
      <c r="AN594" s="1"/>
      <c r="AO594" s="1"/>
      <c r="AP594" s="1"/>
    </row>
    <row r="595" spans="17:42" ht="62.25" customHeight="1">
      <c r="Q595" s="1"/>
      <c r="R595" s="1"/>
      <c r="S595" s="1"/>
      <c r="T595" s="1"/>
      <c r="U595" s="1"/>
      <c r="V595" s="1"/>
      <c r="W595" s="1"/>
      <c r="X595" s="1"/>
      <c r="Y595" s="1"/>
      <c r="Z595" s="1"/>
      <c r="AB595" s="1"/>
      <c r="AC595" s="558"/>
      <c r="AD595" s="558"/>
      <c r="AE595" s="1"/>
      <c r="AF595" s="1"/>
      <c r="AG595" s="1"/>
      <c r="AH595" s="559"/>
      <c r="AI595" s="1"/>
      <c r="AJ595" s="1"/>
      <c r="AK595" s="1"/>
      <c r="AL595" s="1"/>
      <c r="AM595" s="1"/>
      <c r="AN595" s="1"/>
      <c r="AO595" s="1"/>
      <c r="AP595" s="1"/>
    </row>
    <row r="596" spans="17:42" ht="62.25" customHeight="1">
      <c r="Q596" s="1"/>
      <c r="R596" s="1"/>
      <c r="S596" s="1"/>
      <c r="T596" s="1"/>
      <c r="U596" s="1"/>
      <c r="V596" s="1"/>
      <c r="W596" s="1"/>
      <c r="X596" s="1"/>
      <c r="Y596" s="1"/>
      <c r="Z596" s="1"/>
      <c r="AB596" s="1"/>
      <c r="AC596" s="558"/>
      <c r="AD596" s="558"/>
      <c r="AE596" s="1"/>
      <c r="AF596" s="1"/>
      <c r="AG596" s="1"/>
      <c r="AH596" s="559"/>
      <c r="AI596" s="1"/>
      <c r="AJ596" s="1"/>
      <c r="AK596" s="1"/>
      <c r="AL596" s="1"/>
      <c r="AM596" s="1"/>
      <c r="AN596" s="1"/>
      <c r="AO596" s="1"/>
      <c r="AP596" s="1"/>
    </row>
    <row r="597" spans="17:42" ht="62.25" customHeight="1">
      <c r="Q597" s="1"/>
      <c r="R597" s="1"/>
      <c r="S597" s="1"/>
      <c r="T597" s="1"/>
      <c r="U597" s="1"/>
      <c r="V597" s="1"/>
      <c r="W597" s="1"/>
      <c r="X597" s="1"/>
      <c r="Y597" s="1"/>
      <c r="Z597" s="1"/>
      <c r="AB597" s="1"/>
      <c r="AC597" s="558"/>
      <c r="AD597" s="558"/>
      <c r="AE597" s="1"/>
      <c r="AF597" s="1"/>
      <c r="AG597" s="1"/>
      <c r="AH597" s="559"/>
      <c r="AI597" s="1"/>
      <c r="AJ597" s="1"/>
      <c r="AK597" s="1"/>
      <c r="AL597" s="1"/>
      <c r="AM597" s="1"/>
      <c r="AN597" s="1"/>
      <c r="AO597" s="1"/>
      <c r="AP597" s="1"/>
    </row>
    <row r="598" spans="17:42" ht="62.25" customHeight="1">
      <c r="Q598" s="1"/>
      <c r="R598" s="1"/>
      <c r="S598" s="1"/>
      <c r="T598" s="1"/>
      <c r="U598" s="1"/>
      <c r="V598" s="1"/>
      <c r="W598" s="1"/>
      <c r="X598" s="1"/>
      <c r="Y598" s="1"/>
      <c r="Z598" s="1"/>
      <c r="AB598" s="1"/>
      <c r="AC598" s="558"/>
      <c r="AD598" s="558"/>
      <c r="AE598" s="1"/>
      <c r="AF598" s="1"/>
      <c r="AG598" s="1"/>
      <c r="AH598" s="559"/>
      <c r="AI598" s="1"/>
      <c r="AJ598" s="1"/>
      <c r="AK598" s="1"/>
      <c r="AL598" s="1"/>
      <c r="AM598" s="1"/>
      <c r="AN598" s="1"/>
      <c r="AO598" s="1"/>
      <c r="AP598" s="1"/>
    </row>
    <row r="599" spans="17:42" ht="62.25" customHeight="1">
      <c r="Q599" s="1"/>
      <c r="R599" s="1"/>
      <c r="S599" s="1"/>
      <c r="T599" s="1"/>
      <c r="U599" s="1"/>
      <c r="V599" s="1"/>
      <c r="W599" s="1"/>
      <c r="X599" s="1"/>
      <c r="Y599" s="1"/>
      <c r="Z599" s="1"/>
      <c r="AB599" s="1"/>
      <c r="AC599" s="558"/>
      <c r="AD599" s="558"/>
      <c r="AE599" s="1"/>
      <c r="AF599" s="1"/>
      <c r="AG599" s="1"/>
      <c r="AH599" s="559"/>
      <c r="AI599" s="1"/>
      <c r="AJ599" s="1"/>
      <c r="AK599" s="1"/>
      <c r="AL599" s="1"/>
      <c r="AM599" s="1"/>
      <c r="AN599" s="1"/>
      <c r="AO599" s="1"/>
      <c r="AP599" s="1"/>
    </row>
    <row r="600" spans="17:42" ht="62.25" customHeight="1">
      <c r="Q600" s="1"/>
      <c r="R600" s="1"/>
      <c r="S600" s="1"/>
      <c r="T600" s="1"/>
      <c r="U600" s="1"/>
      <c r="V600" s="1"/>
      <c r="W600" s="1"/>
      <c r="X600" s="1"/>
      <c r="Y600" s="1"/>
      <c r="Z600" s="1"/>
      <c r="AB600" s="1"/>
      <c r="AC600" s="558"/>
      <c r="AD600" s="558"/>
      <c r="AE600" s="1"/>
      <c r="AF600" s="1"/>
      <c r="AG600" s="1"/>
      <c r="AH600" s="559"/>
      <c r="AI600" s="1"/>
      <c r="AJ600" s="1"/>
      <c r="AK600" s="1"/>
      <c r="AL600" s="1"/>
      <c r="AM600" s="1"/>
      <c r="AN600" s="1"/>
      <c r="AO600" s="1"/>
      <c r="AP600" s="1"/>
    </row>
    <row r="601" spans="17:42" ht="62.25" customHeight="1">
      <c r="Q601" s="1"/>
      <c r="R601" s="1"/>
      <c r="S601" s="1"/>
      <c r="T601" s="1"/>
      <c r="U601" s="1"/>
      <c r="V601" s="1"/>
      <c r="W601" s="1"/>
      <c r="X601" s="1"/>
      <c r="Y601" s="1"/>
      <c r="Z601" s="1"/>
      <c r="AB601" s="1"/>
      <c r="AC601" s="558"/>
      <c r="AD601" s="558"/>
      <c r="AE601" s="1"/>
      <c r="AF601" s="1"/>
      <c r="AG601" s="1"/>
      <c r="AH601" s="559"/>
      <c r="AI601" s="1"/>
      <c r="AJ601" s="1"/>
      <c r="AK601" s="1"/>
      <c r="AL601" s="1"/>
      <c r="AM601" s="1"/>
      <c r="AN601" s="1"/>
      <c r="AO601" s="1"/>
      <c r="AP601" s="1"/>
    </row>
    <row r="602" spans="17:42" ht="62.25" customHeight="1">
      <c r="Q602" s="1"/>
      <c r="R602" s="1"/>
      <c r="S602" s="1"/>
      <c r="T602" s="1"/>
      <c r="U602" s="1"/>
      <c r="V602" s="1"/>
      <c r="W602" s="1"/>
      <c r="X602" s="1"/>
      <c r="Y602" s="1"/>
      <c r="Z602" s="1"/>
      <c r="AB602" s="1"/>
      <c r="AC602" s="558"/>
      <c r="AD602" s="558"/>
      <c r="AE602" s="1"/>
      <c r="AF602" s="1"/>
      <c r="AG602" s="1"/>
      <c r="AH602" s="559"/>
      <c r="AI602" s="1"/>
      <c r="AJ602" s="1"/>
      <c r="AK602" s="1"/>
      <c r="AL602" s="1"/>
      <c r="AM602" s="1"/>
      <c r="AN602" s="1"/>
      <c r="AO602" s="1"/>
      <c r="AP602" s="1"/>
    </row>
    <row r="603" spans="17:42" ht="62.25" customHeight="1">
      <c r="Q603" s="1"/>
      <c r="R603" s="1"/>
      <c r="S603" s="1"/>
      <c r="T603" s="1"/>
      <c r="U603" s="1"/>
      <c r="V603" s="1"/>
      <c r="W603" s="1"/>
      <c r="X603" s="1"/>
      <c r="Y603" s="1"/>
      <c r="Z603" s="1"/>
      <c r="AB603" s="1"/>
      <c r="AC603" s="558"/>
      <c r="AD603" s="558"/>
      <c r="AE603" s="1"/>
      <c r="AF603" s="1"/>
      <c r="AG603" s="1"/>
      <c r="AH603" s="559"/>
      <c r="AI603" s="1"/>
      <c r="AJ603" s="1"/>
      <c r="AK603" s="1"/>
      <c r="AL603" s="1"/>
      <c r="AM603" s="1"/>
      <c r="AN603" s="1"/>
      <c r="AO603" s="1"/>
      <c r="AP603" s="1"/>
    </row>
    <row r="604" spans="17:42" ht="62.25" customHeight="1">
      <c r="Q604" s="1"/>
      <c r="R604" s="1"/>
      <c r="S604" s="1"/>
      <c r="T604" s="1"/>
      <c r="U604" s="1"/>
      <c r="V604" s="1"/>
      <c r="W604" s="1"/>
      <c r="X604" s="1"/>
      <c r="Y604" s="1"/>
      <c r="Z604" s="1"/>
      <c r="AB604" s="1"/>
      <c r="AC604" s="558"/>
      <c r="AD604" s="558"/>
      <c r="AE604" s="1"/>
      <c r="AF604" s="1"/>
      <c r="AG604" s="1"/>
      <c r="AH604" s="559"/>
      <c r="AI604" s="1"/>
      <c r="AJ604" s="1"/>
      <c r="AK604" s="1"/>
      <c r="AL604" s="1"/>
      <c r="AM604" s="1"/>
      <c r="AN604" s="1"/>
      <c r="AO604" s="1"/>
      <c r="AP604" s="1"/>
    </row>
    <row r="605" spans="17:42" ht="62.25" customHeight="1">
      <c r="Q605" s="1"/>
      <c r="R605" s="1"/>
      <c r="S605" s="1"/>
      <c r="T605" s="1"/>
      <c r="U605" s="1"/>
      <c r="V605" s="1"/>
      <c r="W605" s="1"/>
      <c r="X605" s="1"/>
      <c r="Y605" s="1"/>
      <c r="Z605" s="1"/>
      <c r="AB605" s="1"/>
      <c r="AC605" s="558"/>
      <c r="AD605" s="558"/>
      <c r="AE605" s="1"/>
      <c r="AF605" s="1"/>
      <c r="AG605" s="1"/>
      <c r="AH605" s="559"/>
      <c r="AI605" s="1"/>
      <c r="AJ605" s="1"/>
      <c r="AK605" s="1"/>
      <c r="AL605" s="1"/>
      <c r="AM605" s="1"/>
      <c r="AN605" s="1"/>
      <c r="AO605" s="1"/>
      <c r="AP605" s="1"/>
    </row>
    <row r="606" spans="17:42" ht="62.25" customHeight="1">
      <c r="Q606" s="1"/>
      <c r="R606" s="1"/>
      <c r="S606" s="1"/>
      <c r="T606" s="1"/>
      <c r="U606" s="1"/>
      <c r="V606" s="1"/>
      <c r="W606" s="1"/>
      <c r="X606" s="1"/>
      <c r="Y606" s="1"/>
      <c r="Z606" s="1"/>
      <c r="AB606" s="1"/>
      <c r="AC606" s="558"/>
      <c r="AD606" s="558"/>
      <c r="AE606" s="1"/>
      <c r="AF606" s="1"/>
      <c r="AG606" s="1"/>
      <c r="AH606" s="559"/>
      <c r="AI606" s="1"/>
      <c r="AJ606" s="1"/>
      <c r="AK606" s="1"/>
      <c r="AL606" s="1"/>
      <c r="AM606" s="1"/>
      <c r="AN606" s="1"/>
      <c r="AO606" s="1"/>
      <c r="AP606" s="1"/>
    </row>
    <row r="607" spans="17:42" ht="62.25" customHeight="1">
      <c r="Q607" s="1"/>
      <c r="R607" s="1"/>
      <c r="S607" s="1"/>
      <c r="T607" s="1"/>
      <c r="U607" s="1"/>
      <c r="V607" s="1"/>
      <c r="W607" s="1"/>
      <c r="X607" s="1"/>
      <c r="Y607" s="1"/>
      <c r="Z607" s="1"/>
      <c r="AB607" s="1"/>
      <c r="AC607" s="558"/>
      <c r="AD607" s="558"/>
      <c r="AE607" s="1"/>
      <c r="AF607" s="1"/>
      <c r="AG607" s="1"/>
      <c r="AH607" s="559"/>
      <c r="AI607" s="1"/>
      <c r="AJ607" s="1"/>
      <c r="AK607" s="1"/>
      <c r="AL607" s="1"/>
      <c r="AM607" s="1"/>
      <c r="AN607" s="1"/>
      <c r="AO607" s="1"/>
      <c r="AP607" s="1"/>
    </row>
    <row r="608" spans="17:42" ht="62.25" customHeight="1">
      <c r="Q608" s="1"/>
      <c r="R608" s="1"/>
      <c r="S608" s="1"/>
      <c r="T608" s="1"/>
      <c r="U608" s="1"/>
      <c r="V608" s="1"/>
      <c r="W608" s="1"/>
      <c r="X608" s="1"/>
      <c r="Y608" s="1"/>
      <c r="Z608" s="1"/>
      <c r="AB608" s="1"/>
      <c r="AC608" s="558"/>
      <c r="AD608" s="558"/>
      <c r="AE608" s="1"/>
      <c r="AF608" s="1"/>
      <c r="AG608" s="1"/>
      <c r="AH608" s="559"/>
      <c r="AI608" s="1"/>
      <c r="AJ608" s="1"/>
      <c r="AK608" s="1"/>
      <c r="AL608" s="1"/>
      <c r="AM608" s="1"/>
      <c r="AN608" s="1"/>
      <c r="AO608" s="1"/>
      <c r="AP608" s="1"/>
    </row>
    <row r="609" spans="17:42" ht="62.25" customHeight="1">
      <c r="Q609" s="1"/>
      <c r="R609" s="1"/>
      <c r="S609" s="1"/>
      <c r="T609" s="1"/>
      <c r="U609" s="1"/>
      <c r="V609" s="1"/>
      <c r="W609" s="1"/>
      <c r="X609" s="1"/>
      <c r="Y609" s="1"/>
      <c r="Z609" s="1"/>
      <c r="AB609" s="1"/>
      <c r="AC609" s="558"/>
      <c r="AD609" s="558"/>
      <c r="AE609" s="1"/>
      <c r="AF609" s="1"/>
      <c r="AG609" s="1"/>
      <c r="AH609" s="559"/>
      <c r="AI609" s="1"/>
      <c r="AJ609" s="1"/>
      <c r="AK609" s="1"/>
      <c r="AL609" s="1"/>
      <c r="AM609" s="1"/>
      <c r="AN609" s="1"/>
      <c r="AO609" s="1"/>
      <c r="AP609" s="1"/>
    </row>
    <row r="610" spans="17:42" ht="62.25" customHeight="1">
      <c r="Q610" s="1"/>
      <c r="R610" s="1"/>
      <c r="S610" s="1"/>
      <c r="T610" s="1"/>
      <c r="U610" s="1"/>
      <c r="V610" s="1"/>
      <c r="W610" s="1"/>
      <c r="X610" s="1"/>
      <c r="Y610" s="1"/>
      <c r="Z610" s="1"/>
      <c r="AB610" s="1"/>
      <c r="AC610" s="558"/>
      <c r="AD610" s="558"/>
      <c r="AE610" s="1"/>
      <c r="AF610" s="1"/>
      <c r="AG610" s="1"/>
      <c r="AH610" s="559"/>
      <c r="AI610" s="1"/>
      <c r="AJ610" s="1"/>
      <c r="AK610" s="1"/>
      <c r="AL610" s="1"/>
      <c r="AM610" s="1"/>
      <c r="AN610" s="1"/>
      <c r="AO610" s="1"/>
      <c r="AP610" s="1"/>
    </row>
    <row r="611" spans="17:42" ht="62.25" customHeight="1">
      <c r="Q611" s="1"/>
      <c r="R611" s="1"/>
      <c r="S611" s="1"/>
      <c r="T611" s="1"/>
      <c r="U611" s="1"/>
      <c r="V611" s="1"/>
      <c r="W611" s="1"/>
      <c r="X611" s="1"/>
      <c r="Y611" s="1"/>
      <c r="Z611" s="1"/>
      <c r="AB611" s="1"/>
      <c r="AC611" s="558"/>
      <c r="AD611" s="558"/>
      <c r="AE611" s="1"/>
      <c r="AF611" s="1"/>
      <c r="AG611" s="1"/>
      <c r="AH611" s="559"/>
      <c r="AI611" s="1"/>
      <c r="AJ611" s="1"/>
      <c r="AK611" s="1"/>
      <c r="AL611" s="1"/>
      <c r="AM611" s="1"/>
      <c r="AN611" s="1"/>
      <c r="AO611" s="1"/>
      <c r="AP611" s="1"/>
    </row>
    <row r="612" spans="17:42" ht="62.25" customHeight="1">
      <c r="Q612" s="1"/>
      <c r="R612" s="1"/>
      <c r="S612" s="1"/>
      <c r="T612" s="1"/>
      <c r="U612" s="1"/>
      <c r="V612" s="1"/>
      <c r="W612" s="1"/>
      <c r="X612" s="1"/>
      <c r="Y612" s="1"/>
      <c r="Z612" s="1"/>
      <c r="AB612" s="1"/>
      <c r="AC612" s="558"/>
      <c r="AD612" s="558"/>
      <c r="AE612" s="1"/>
      <c r="AF612" s="1"/>
      <c r="AG612" s="1"/>
      <c r="AH612" s="559"/>
      <c r="AI612" s="1"/>
      <c r="AJ612" s="1"/>
      <c r="AK612" s="1"/>
      <c r="AL612" s="1"/>
      <c r="AM612" s="1"/>
      <c r="AN612" s="1"/>
      <c r="AO612" s="1"/>
      <c r="AP612" s="1"/>
    </row>
    <row r="613" spans="17:42" ht="62.25" customHeight="1">
      <c r="Q613" s="1"/>
      <c r="R613" s="1"/>
      <c r="S613" s="1"/>
      <c r="T613" s="1"/>
      <c r="U613" s="1"/>
      <c r="V613" s="1"/>
      <c r="W613" s="1"/>
      <c r="X613" s="1"/>
      <c r="Y613" s="1"/>
      <c r="Z613" s="1"/>
      <c r="AB613" s="1"/>
      <c r="AC613" s="558"/>
      <c r="AD613" s="558"/>
      <c r="AE613" s="1"/>
      <c r="AF613" s="1"/>
      <c r="AG613" s="1"/>
      <c r="AH613" s="559"/>
      <c r="AI613" s="1"/>
      <c r="AJ613" s="1"/>
      <c r="AK613" s="1"/>
      <c r="AL613" s="1"/>
      <c r="AM613" s="1"/>
      <c r="AN613" s="1"/>
      <c r="AO613" s="1"/>
      <c r="AP613" s="1"/>
    </row>
    <row r="614" spans="17:42" ht="62.25" customHeight="1">
      <c r="Q614" s="1"/>
      <c r="R614" s="1"/>
      <c r="S614" s="1"/>
      <c r="T614" s="1"/>
      <c r="U614" s="1"/>
      <c r="V614" s="1"/>
      <c r="W614" s="1"/>
      <c r="X614" s="1"/>
      <c r="Y614" s="1"/>
      <c r="Z614" s="1"/>
      <c r="AB614" s="1"/>
      <c r="AC614" s="558"/>
      <c r="AD614" s="558"/>
      <c r="AE614" s="1"/>
      <c r="AF614" s="1"/>
      <c r="AG614" s="1"/>
      <c r="AH614" s="559"/>
      <c r="AI614" s="1"/>
      <c r="AJ614" s="1"/>
      <c r="AK614" s="1"/>
      <c r="AL614" s="1"/>
      <c r="AM614" s="1"/>
      <c r="AN614" s="1"/>
      <c r="AO614" s="1"/>
      <c r="AP614" s="1"/>
    </row>
    <row r="615" spans="17:42" ht="62.25" customHeight="1">
      <c r="Q615" s="1"/>
      <c r="R615" s="1"/>
      <c r="S615" s="1"/>
      <c r="T615" s="1"/>
      <c r="U615" s="1"/>
      <c r="V615" s="1"/>
      <c r="W615" s="1"/>
      <c r="X615" s="1"/>
      <c r="Y615" s="1"/>
      <c r="Z615" s="1"/>
      <c r="AB615" s="1"/>
      <c r="AC615" s="558"/>
      <c r="AD615" s="558"/>
      <c r="AE615" s="1"/>
      <c r="AF615" s="1"/>
      <c r="AG615" s="1"/>
      <c r="AH615" s="559"/>
      <c r="AI615" s="1"/>
      <c r="AJ615" s="1"/>
      <c r="AK615" s="1"/>
      <c r="AL615" s="1"/>
      <c r="AM615" s="1"/>
      <c r="AN615" s="1"/>
      <c r="AO615" s="1"/>
      <c r="AP615" s="1"/>
    </row>
    <row r="616" spans="17:42" ht="62.25" customHeight="1">
      <c r="Q616" s="1"/>
      <c r="R616" s="1"/>
      <c r="S616" s="1"/>
      <c r="T616" s="1"/>
      <c r="U616" s="1"/>
      <c r="V616" s="1"/>
      <c r="W616" s="1"/>
      <c r="X616" s="1"/>
      <c r="Y616" s="1"/>
      <c r="Z616" s="1"/>
      <c r="AB616" s="1"/>
      <c r="AC616" s="558"/>
      <c r="AD616" s="558"/>
      <c r="AE616" s="1"/>
      <c r="AF616" s="1"/>
      <c r="AG616" s="1"/>
      <c r="AH616" s="559"/>
      <c r="AI616" s="1"/>
      <c r="AJ616" s="1"/>
      <c r="AK616" s="1"/>
      <c r="AL616" s="1"/>
      <c r="AM616" s="1"/>
      <c r="AN616" s="1"/>
      <c r="AO616" s="1"/>
      <c r="AP616" s="1"/>
    </row>
    <row r="617" spans="17:42" ht="62.25" customHeight="1">
      <c r="Q617" s="1"/>
      <c r="R617" s="1"/>
      <c r="S617" s="1"/>
      <c r="T617" s="1"/>
      <c r="U617" s="1"/>
      <c r="V617" s="1"/>
      <c r="W617" s="1"/>
      <c r="X617" s="1"/>
      <c r="Y617" s="1"/>
      <c r="Z617" s="1"/>
      <c r="AB617" s="1"/>
      <c r="AC617" s="558"/>
      <c r="AD617" s="558"/>
      <c r="AE617" s="1"/>
      <c r="AF617" s="1"/>
      <c r="AG617" s="1"/>
      <c r="AH617" s="559"/>
      <c r="AI617" s="1"/>
      <c r="AJ617" s="1"/>
      <c r="AK617" s="1"/>
      <c r="AL617" s="1"/>
      <c r="AM617" s="1"/>
      <c r="AN617" s="1"/>
      <c r="AO617" s="1"/>
      <c r="AP617" s="1"/>
    </row>
    <row r="618" spans="17:42" ht="62.25" customHeight="1">
      <c r="Q618" s="1"/>
      <c r="R618" s="1"/>
      <c r="S618" s="1"/>
      <c r="T618" s="1"/>
      <c r="U618" s="1"/>
      <c r="V618" s="1"/>
      <c r="W618" s="1"/>
      <c r="X618" s="1"/>
      <c r="Y618" s="1"/>
      <c r="Z618" s="1"/>
      <c r="AB618" s="1"/>
      <c r="AC618" s="558"/>
      <c r="AD618" s="558"/>
      <c r="AE618" s="1"/>
      <c r="AF618" s="1"/>
      <c r="AG618" s="1"/>
      <c r="AH618" s="559"/>
      <c r="AI618" s="1"/>
      <c r="AJ618" s="1"/>
      <c r="AK618" s="1"/>
      <c r="AL618" s="1"/>
      <c r="AM618" s="1"/>
      <c r="AN618" s="1"/>
      <c r="AO618" s="1"/>
      <c r="AP618" s="1"/>
    </row>
    <row r="619" spans="17:42" ht="62.25" customHeight="1">
      <c r="Q619" s="1"/>
      <c r="R619" s="1"/>
      <c r="S619" s="1"/>
      <c r="T619" s="1"/>
      <c r="U619" s="1"/>
      <c r="V619" s="1"/>
      <c r="W619" s="1"/>
      <c r="X619" s="1"/>
      <c r="Y619" s="1"/>
      <c r="Z619" s="1"/>
      <c r="AB619" s="1"/>
      <c r="AC619" s="558"/>
      <c r="AD619" s="558"/>
      <c r="AE619" s="1"/>
      <c r="AF619" s="1"/>
      <c r="AG619" s="1"/>
      <c r="AH619" s="559"/>
      <c r="AI619" s="1"/>
      <c r="AJ619" s="1"/>
      <c r="AK619" s="1"/>
      <c r="AL619" s="1"/>
      <c r="AM619" s="1"/>
      <c r="AN619" s="1"/>
      <c r="AO619" s="1"/>
      <c r="AP619" s="1"/>
    </row>
    <row r="620" spans="17:42" ht="62.25" customHeight="1">
      <c r="Q620" s="1"/>
      <c r="R620" s="1"/>
      <c r="S620" s="1"/>
      <c r="T620" s="1"/>
      <c r="U620" s="1"/>
      <c r="V620" s="1"/>
      <c r="W620" s="1"/>
      <c r="X620" s="1"/>
      <c r="Y620" s="1"/>
      <c r="Z620" s="1"/>
      <c r="AB620" s="1"/>
      <c r="AC620" s="558"/>
      <c r="AD620" s="558"/>
      <c r="AE620" s="1"/>
      <c r="AF620" s="1"/>
      <c r="AG620" s="1"/>
      <c r="AH620" s="559"/>
      <c r="AI620" s="1"/>
      <c r="AJ620" s="1"/>
      <c r="AK620" s="1"/>
      <c r="AL620" s="1"/>
      <c r="AM620" s="1"/>
      <c r="AN620" s="1"/>
      <c r="AO620" s="1"/>
      <c r="AP620" s="1"/>
    </row>
    <row r="621" spans="17:42" ht="62.25" customHeight="1">
      <c r="Q621" s="1"/>
      <c r="R621" s="1"/>
      <c r="S621" s="1"/>
      <c r="T621" s="1"/>
      <c r="U621" s="1"/>
      <c r="V621" s="1"/>
      <c r="W621" s="1"/>
      <c r="X621" s="1"/>
      <c r="Y621" s="1"/>
      <c r="Z621" s="1"/>
      <c r="AB621" s="1"/>
      <c r="AC621" s="558"/>
      <c r="AD621" s="558"/>
      <c r="AE621" s="1"/>
      <c r="AF621" s="1"/>
      <c r="AG621" s="1"/>
      <c r="AH621" s="559"/>
      <c r="AI621" s="1"/>
      <c r="AJ621" s="1"/>
      <c r="AK621" s="1"/>
      <c r="AL621" s="1"/>
      <c r="AM621" s="1"/>
      <c r="AN621" s="1"/>
      <c r="AO621" s="1"/>
      <c r="AP621" s="1"/>
    </row>
    <row r="622" spans="17:42" ht="62.25" customHeight="1">
      <c r="Q622" s="1"/>
      <c r="R622" s="1"/>
      <c r="S622" s="1"/>
      <c r="T622" s="1"/>
      <c r="U622" s="1"/>
      <c r="V622" s="1"/>
      <c r="W622" s="1"/>
      <c r="X622" s="1"/>
      <c r="Y622" s="1"/>
      <c r="Z622" s="1"/>
      <c r="AB622" s="1"/>
      <c r="AC622" s="558"/>
      <c r="AD622" s="558"/>
      <c r="AE622" s="1"/>
      <c r="AF622" s="1"/>
      <c r="AG622" s="1"/>
      <c r="AH622" s="559"/>
      <c r="AI622" s="1"/>
      <c r="AJ622" s="1"/>
      <c r="AK622" s="1"/>
      <c r="AL622" s="1"/>
      <c r="AM622" s="1"/>
      <c r="AN622" s="1"/>
      <c r="AO622" s="1"/>
      <c r="AP622" s="1"/>
    </row>
    <row r="623" spans="17:42" ht="62.25" customHeight="1">
      <c r="Q623" s="1"/>
      <c r="R623" s="1"/>
      <c r="S623" s="1"/>
      <c r="T623" s="1"/>
      <c r="U623" s="1"/>
      <c r="V623" s="1"/>
      <c r="W623" s="1"/>
      <c r="X623" s="1"/>
      <c r="Y623" s="1"/>
      <c r="Z623" s="1"/>
      <c r="AB623" s="1"/>
      <c r="AC623" s="558"/>
      <c r="AD623" s="558"/>
      <c r="AE623" s="1"/>
      <c r="AF623" s="1"/>
      <c r="AG623" s="1"/>
      <c r="AH623" s="559"/>
      <c r="AI623" s="1"/>
      <c r="AJ623" s="1"/>
      <c r="AK623" s="1"/>
      <c r="AL623" s="1"/>
      <c r="AM623" s="1"/>
      <c r="AN623" s="1"/>
      <c r="AO623" s="1"/>
      <c r="AP623" s="1"/>
    </row>
    <row r="624" spans="17:42" ht="62.25" customHeight="1">
      <c r="Q624" s="1"/>
      <c r="R624" s="1"/>
      <c r="S624" s="1"/>
      <c r="T624" s="1"/>
      <c r="U624" s="1"/>
      <c r="V624" s="1"/>
      <c r="W624" s="1"/>
      <c r="X624" s="1"/>
      <c r="Y624" s="1"/>
      <c r="Z624" s="1"/>
      <c r="AB624" s="1"/>
      <c r="AC624" s="558"/>
      <c r="AD624" s="558"/>
      <c r="AE624" s="1"/>
      <c r="AF624" s="1"/>
      <c r="AG624" s="1"/>
      <c r="AH624" s="559"/>
      <c r="AI624" s="1"/>
      <c r="AJ624" s="1"/>
      <c r="AK624" s="1"/>
      <c r="AL624" s="1"/>
      <c r="AM624" s="1"/>
      <c r="AN624" s="1"/>
      <c r="AO624" s="1"/>
      <c r="AP624" s="1"/>
    </row>
    <row r="625" spans="17:42" ht="62.25" customHeight="1">
      <c r="Q625" s="1"/>
      <c r="R625" s="1"/>
      <c r="S625" s="1"/>
      <c r="T625" s="1"/>
      <c r="U625" s="1"/>
      <c r="V625" s="1"/>
      <c r="W625" s="1"/>
      <c r="X625" s="1"/>
      <c r="Y625" s="1"/>
      <c r="Z625" s="1"/>
      <c r="AB625" s="1"/>
      <c r="AC625" s="558"/>
      <c r="AD625" s="558"/>
      <c r="AE625" s="1"/>
      <c r="AF625" s="1"/>
      <c r="AG625" s="1"/>
      <c r="AH625" s="559"/>
      <c r="AI625" s="1"/>
      <c r="AJ625" s="1"/>
      <c r="AK625" s="1"/>
      <c r="AL625" s="1"/>
      <c r="AM625" s="1"/>
      <c r="AN625" s="1"/>
      <c r="AO625" s="1"/>
      <c r="AP625" s="1"/>
    </row>
    <row r="626" spans="17:42" ht="62.25" customHeight="1">
      <c r="Q626" s="1"/>
      <c r="R626" s="1"/>
      <c r="S626" s="1"/>
      <c r="T626" s="1"/>
      <c r="U626" s="1"/>
      <c r="V626" s="1"/>
      <c r="W626" s="1"/>
      <c r="X626" s="1"/>
      <c r="Y626" s="1"/>
      <c r="Z626" s="1"/>
      <c r="AB626" s="1"/>
      <c r="AC626" s="558"/>
      <c r="AD626" s="558"/>
      <c r="AE626" s="1"/>
      <c r="AF626" s="1"/>
      <c r="AG626" s="1"/>
      <c r="AH626" s="559"/>
      <c r="AI626" s="1"/>
      <c r="AJ626" s="1"/>
      <c r="AK626" s="1"/>
      <c r="AL626" s="1"/>
      <c r="AM626" s="1"/>
      <c r="AN626" s="1"/>
      <c r="AO626" s="1"/>
      <c r="AP626" s="1"/>
    </row>
    <row r="627" spans="17:42" ht="62.25" customHeight="1">
      <c r="Q627" s="1"/>
      <c r="R627" s="1"/>
      <c r="S627" s="1"/>
      <c r="T627" s="1"/>
      <c r="U627" s="1"/>
      <c r="V627" s="1"/>
      <c r="W627" s="1"/>
      <c r="X627" s="1"/>
      <c r="Y627" s="1"/>
      <c r="Z627" s="1"/>
      <c r="AB627" s="1"/>
      <c r="AC627" s="558"/>
      <c r="AD627" s="558"/>
      <c r="AE627" s="1"/>
      <c r="AF627" s="1"/>
      <c r="AG627" s="1"/>
      <c r="AH627" s="559"/>
      <c r="AI627" s="1"/>
      <c r="AJ627" s="1"/>
      <c r="AK627" s="1"/>
      <c r="AL627" s="1"/>
      <c r="AM627" s="1"/>
      <c r="AN627" s="1"/>
      <c r="AO627" s="1"/>
      <c r="AP627" s="1"/>
    </row>
    <row r="628" spans="17:42" ht="62.25" customHeight="1">
      <c r="Q628" s="1"/>
      <c r="R628" s="1"/>
      <c r="S628" s="1"/>
      <c r="T628" s="1"/>
      <c r="U628" s="1"/>
      <c r="V628" s="1"/>
      <c r="W628" s="1"/>
      <c r="X628" s="1"/>
      <c r="Y628" s="1"/>
      <c r="Z628" s="1"/>
      <c r="AB628" s="1"/>
      <c r="AC628" s="558"/>
      <c r="AD628" s="558"/>
      <c r="AE628" s="1"/>
      <c r="AF628" s="1"/>
      <c r="AG628" s="1"/>
      <c r="AH628" s="559"/>
      <c r="AI628" s="1"/>
      <c r="AJ628" s="1"/>
      <c r="AK628" s="1"/>
      <c r="AL628" s="1"/>
      <c r="AM628" s="1"/>
      <c r="AN628" s="1"/>
      <c r="AO628" s="1"/>
      <c r="AP628" s="1"/>
    </row>
    <row r="629" spans="17:42" ht="62.25" customHeight="1">
      <c r="Q629" s="1"/>
      <c r="R629" s="1"/>
      <c r="S629" s="1"/>
      <c r="T629" s="1"/>
      <c r="U629" s="1"/>
      <c r="V629" s="1"/>
      <c r="W629" s="1"/>
      <c r="X629" s="1"/>
      <c r="Y629" s="1"/>
      <c r="Z629" s="1"/>
      <c r="AB629" s="1"/>
      <c r="AC629" s="558"/>
      <c r="AD629" s="558"/>
      <c r="AE629" s="1"/>
      <c r="AF629" s="1"/>
      <c r="AG629" s="1"/>
      <c r="AH629" s="559"/>
      <c r="AI629" s="1"/>
      <c r="AJ629" s="1"/>
      <c r="AK629" s="1"/>
      <c r="AL629" s="1"/>
      <c r="AM629" s="1"/>
      <c r="AN629" s="1"/>
      <c r="AO629" s="1"/>
      <c r="AP629" s="1"/>
    </row>
    <row r="630" spans="17:42" ht="62.25" customHeight="1">
      <c r="Q630" s="1"/>
      <c r="R630" s="1"/>
      <c r="S630" s="1"/>
      <c r="T630" s="1"/>
      <c r="U630" s="1"/>
      <c r="V630" s="1"/>
      <c r="W630" s="1"/>
      <c r="X630" s="1"/>
      <c r="Y630" s="1"/>
      <c r="Z630" s="1"/>
      <c r="AB630" s="1"/>
      <c r="AC630" s="558"/>
      <c r="AD630" s="558"/>
      <c r="AE630" s="1"/>
      <c r="AF630" s="1"/>
      <c r="AG630" s="1"/>
      <c r="AH630" s="559"/>
      <c r="AI630" s="1"/>
      <c r="AJ630" s="1"/>
      <c r="AK630" s="1"/>
      <c r="AL630" s="1"/>
      <c r="AM630" s="1"/>
      <c r="AN630" s="1"/>
      <c r="AO630" s="1"/>
      <c r="AP630" s="1"/>
    </row>
    <row r="631" spans="17:42" ht="62.25" customHeight="1">
      <c r="Q631" s="1"/>
      <c r="R631" s="1"/>
      <c r="S631" s="1"/>
      <c r="T631" s="1"/>
      <c r="U631" s="1"/>
      <c r="V631" s="1"/>
      <c r="W631" s="1"/>
      <c r="X631" s="1"/>
      <c r="Y631" s="1"/>
      <c r="Z631" s="1"/>
      <c r="AB631" s="1"/>
      <c r="AC631" s="558"/>
      <c r="AD631" s="558"/>
      <c r="AE631" s="1"/>
      <c r="AF631" s="1"/>
      <c r="AG631" s="1"/>
      <c r="AH631" s="559"/>
      <c r="AI631" s="1"/>
      <c r="AJ631" s="1"/>
      <c r="AK631" s="1"/>
      <c r="AL631" s="1"/>
      <c r="AM631" s="1"/>
      <c r="AN631" s="1"/>
      <c r="AO631" s="1"/>
      <c r="AP631" s="1"/>
    </row>
    <row r="632" spans="17:42" ht="62.25" customHeight="1">
      <c r="Q632" s="1"/>
      <c r="R632" s="1"/>
      <c r="S632" s="1"/>
      <c r="T632" s="1"/>
      <c r="U632" s="1"/>
      <c r="V632" s="1"/>
      <c r="W632" s="1"/>
      <c r="X632" s="1"/>
      <c r="Y632" s="1"/>
      <c r="Z632" s="1"/>
      <c r="AB632" s="1"/>
      <c r="AC632" s="558"/>
      <c r="AD632" s="558"/>
      <c r="AE632" s="1"/>
      <c r="AF632" s="1"/>
      <c r="AG632" s="1"/>
      <c r="AH632" s="559"/>
      <c r="AI632" s="1"/>
      <c r="AJ632" s="1"/>
      <c r="AK632" s="1"/>
      <c r="AL632" s="1"/>
      <c r="AM632" s="1"/>
      <c r="AN632" s="1"/>
      <c r="AO632" s="1"/>
      <c r="AP632" s="1"/>
    </row>
    <row r="633" spans="17:42" ht="62.25" customHeight="1">
      <c r="Q633" s="1"/>
      <c r="R633" s="1"/>
      <c r="S633" s="1"/>
      <c r="T633" s="1"/>
      <c r="U633" s="1"/>
      <c r="V633" s="1"/>
      <c r="W633" s="1"/>
      <c r="X633" s="1"/>
      <c r="Y633" s="1"/>
      <c r="Z633" s="1"/>
      <c r="AB633" s="1"/>
      <c r="AC633" s="558"/>
      <c r="AD633" s="558"/>
      <c r="AE633" s="1"/>
      <c r="AF633" s="1"/>
      <c r="AG633" s="1"/>
      <c r="AH633" s="559"/>
      <c r="AI633" s="1"/>
      <c r="AJ633" s="1"/>
      <c r="AK633" s="1"/>
      <c r="AL633" s="1"/>
      <c r="AM633" s="1"/>
      <c r="AN633" s="1"/>
      <c r="AO633" s="1"/>
      <c r="AP633" s="1"/>
    </row>
    <row r="634" spans="17:42" ht="62.25" customHeight="1">
      <c r="Q634" s="1"/>
      <c r="R634" s="1"/>
      <c r="S634" s="1"/>
      <c r="T634" s="1"/>
      <c r="U634" s="1"/>
      <c r="V634" s="1"/>
      <c r="W634" s="1"/>
      <c r="X634" s="1"/>
      <c r="Y634" s="1"/>
      <c r="Z634" s="1"/>
      <c r="AB634" s="1"/>
      <c r="AC634" s="558"/>
      <c r="AD634" s="558"/>
      <c r="AE634" s="1"/>
      <c r="AF634" s="1"/>
      <c r="AG634" s="1"/>
      <c r="AH634" s="559"/>
      <c r="AI634" s="1"/>
      <c r="AJ634" s="1"/>
      <c r="AK634" s="1"/>
      <c r="AL634" s="1"/>
      <c r="AM634" s="1"/>
      <c r="AN634" s="1"/>
      <c r="AO634" s="1"/>
      <c r="AP634" s="1"/>
    </row>
    <row r="635" spans="17:42" ht="62.25" customHeight="1">
      <c r="Q635" s="1"/>
      <c r="R635" s="1"/>
      <c r="S635" s="1"/>
      <c r="T635" s="1"/>
      <c r="U635" s="1"/>
      <c r="V635" s="1"/>
      <c r="W635" s="1"/>
      <c r="X635" s="1"/>
      <c r="Y635" s="1"/>
      <c r="Z635" s="1"/>
      <c r="AB635" s="1"/>
      <c r="AC635" s="558"/>
      <c r="AD635" s="558"/>
      <c r="AE635" s="1"/>
      <c r="AF635" s="1"/>
      <c r="AG635" s="1"/>
      <c r="AH635" s="559"/>
      <c r="AI635" s="1"/>
      <c r="AJ635" s="1"/>
      <c r="AK635" s="1"/>
      <c r="AL635" s="1"/>
      <c r="AM635" s="1"/>
      <c r="AN635" s="1"/>
      <c r="AO635" s="1"/>
      <c r="AP635" s="1"/>
    </row>
    <row r="636" spans="17:42" ht="62.25" customHeight="1">
      <c r="Q636" s="1"/>
      <c r="R636" s="1"/>
      <c r="S636" s="1"/>
      <c r="T636" s="1"/>
      <c r="U636" s="1"/>
      <c r="V636" s="1"/>
      <c r="W636" s="1"/>
      <c r="X636" s="1"/>
      <c r="Y636" s="1"/>
      <c r="Z636" s="1"/>
      <c r="AB636" s="1"/>
      <c r="AC636" s="558"/>
      <c r="AD636" s="558"/>
      <c r="AE636" s="1"/>
      <c r="AF636" s="1"/>
      <c r="AG636" s="1"/>
      <c r="AH636" s="559"/>
      <c r="AI636" s="1"/>
      <c r="AJ636" s="1"/>
      <c r="AK636" s="1"/>
      <c r="AL636" s="1"/>
      <c r="AM636" s="1"/>
      <c r="AN636" s="1"/>
      <c r="AO636" s="1"/>
      <c r="AP636" s="1"/>
    </row>
    <row r="637" spans="17:42" ht="62.25" customHeight="1">
      <c r="Q637" s="1"/>
      <c r="R637" s="1"/>
      <c r="S637" s="1"/>
      <c r="T637" s="1"/>
      <c r="U637" s="1"/>
      <c r="V637" s="1"/>
      <c r="W637" s="1"/>
      <c r="X637" s="1"/>
      <c r="Y637" s="1"/>
      <c r="Z637" s="1"/>
      <c r="AB637" s="1"/>
      <c r="AC637" s="558"/>
      <c r="AD637" s="558"/>
      <c r="AE637" s="1"/>
      <c r="AF637" s="1"/>
      <c r="AG637" s="1"/>
      <c r="AH637" s="559"/>
      <c r="AI637" s="1"/>
      <c r="AJ637" s="1"/>
      <c r="AK637" s="1"/>
      <c r="AL637" s="1"/>
      <c r="AM637" s="1"/>
      <c r="AN637" s="1"/>
      <c r="AO637" s="1"/>
      <c r="AP637" s="1"/>
    </row>
    <row r="638" spans="17:42" ht="62.25" customHeight="1">
      <c r="Q638" s="1"/>
      <c r="R638" s="1"/>
      <c r="S638" s="1"/>
      <c r="T638" s="1"/>
      <c r="U638" s="1"/>
      <c r="V638" s="1"/>
      <c r="W638" s="1"/>
      <c r="X638" s="1"/>
      <c r="Y638" s="1"/>
      <c r="Z638" s="1"/>
      <c r="AB638" s="1"/>
      <c r="AC638" s="558"/>
      <c r="AD638" s="558"/>
      <c r="AE638" s="1"/>
      <c r="AF638" s="1"/>
      <c r="AG638" s="1"/>
      <c r="AH638" s="559"/>
      <c r="AI638" s="1"/>
      <c r="AJ638" s="1"/>
      <c r="AK638" s="1"/>
      <c r="AL638" s="1"/>
      <c r="AM638" s="1"/>
      <c r="AN638" s="1"/>
      <c r="AO638" s="1"/>
      <c r="AP638" s="1"/>
    </row>
    <row r="639" spans="17:42" ht="62.25" customHeight="1">
      <c r="Q639" s="1"/>
      <c r="R639" s="1"/>
      <c r="S639" s="1"/>
      <c r="T639" s="1"/>
      <c r="U639" s="1"/>
      <c r="V639" s="1"/>
      <c r="W639" s="1"/>
      <c r="X639" s="1"/>
      <c r="Y639" s="1"/>
      <c r="Z639" s="1"/>
      <c r="AB639" s="1"/>
      <c r="AC639" s="558"/>
      <c r="AD639" s="558"/>
      <c r="AE639" s="1"/>
      <c r="AF639" s="1"/>
      <c r="AG639" s="1"/>
      <c r="AH639" s="559"/>
      <c r="AI639" s="1"/>
      <c r="AJ639" s="1"/>
      <c r="AK639" s="1"/>
      <c r="AL639" s="1"/>
      <c r="AM639" s="1"/>
      <c r="AN639" s="1"/>
      <c r="AO639" s="1"/>
      <c r="AP639" s="1"/>
    </row>
    <row r="640" spans="17:42" ht="62.25" customHeight="1">
      <c r="Q640" s="1"/>
      <c r="R640" s="1"/>
      <c r="S640" s="1"/>
      <c r="T640" s="1"/>
      <c r="U640" s="1"/>
      <c r="V640" s="1"/>
      <c r="W640" s="1"/>
      <c r="X640" s="1"/>
      <c r="Y640" s="1"/>
      <c r="Z640" s="1"/>
      <c r="AB640" s="1"/>
      <c r="AC640" s="558"/>
      <c r="AD640" s="558"/>
      <c r="AE640" s="1"/>
      <c r="AF640" s="1"/>
      <c r="AG640" s="1"/>
      <c r="AH640" s="559"/>
      <c r="AI640" s="1"/>
      <c r="AJ640" s="1"/>
      <c r="AK640" s="1"/>
      <c r="AL640" s="1"/>
      <c r="AM640" s="1"/>
      <c r="AN640" s="1"/>
      <c r="AO640" s="1"/>
      <c r="AP640" s="1"/>
    </row>
    <row r="641" spans="17:42" ht="62.25" customHeight="1">
      <c r="Q641" s="1"/>
      <c r="R641" s="1"/>
      <c r="S641" s="1"/>
      <c r="T641" s="1"/>
      <c r="U641" s="1"/>
      <c r="V641" s="1"/>
      <c r="W641" s="1"/>
      <c r="X641" s="1"/>
      <c r="Y641" s="1"/>
      <c r="Z641" s="1"/>
      <c r="AB641" s="1"/>
      <c r="AC641" s="558"/>
      <c r="AD641" s="558"/>
      <c r="AE641" s="1"/>
      <c r="AF641" s="1"/>
      <c r="AG641" s="1"/>
      <c r="AH641" s="559"/>
      <c r="AI641" s="1"/>
      <c r="AJ641" s="1"/>
      <c r="AK641" s="1"/>
      <c r="AL641" s="1"/>
      <c r="AM641" s="1"/>
      <c r="AN641" s="1"/>
      <c r="AO641" s="1"/>
      <c r="AP641" s="1"/>
    </row>
    <row r="642" spans="17:42" ht="62.25" customHeight="1">
      <c r="Q642" s="1"/>
      <c r="R642" s="1"/>
      <c r="S642" s="1"/>
      <c r="T642" s="1"/>
      <c r="U642" s="1"/>
      <c r="V642" s="1"/>
      <c r="W642" s="1"/>
      <c r="X642" s="1"/>
      <c r="Y642" s="1"/>
      <c r="Z642" s="1"/>
      <c r="AB642" s="1"/>
      <c r="AC642" s="558"/>
      <c r="AD642" s="558"/>
      <c r="AE642" s="1"/>
      <c r="AF642" s="1"/>
      <c r="AG642" s="1"/>
      <c r="AH642" s="559"/>
      <c r="AI642" s="1"/>
      <c r="AJ642" s="1"/>
      <c r="AK642" s="1"/>
      <c r="AL642" s="1"/>
      <c r="AM642" s="1"/>
      <c r="AN642" s="1"/>
      <c r="AO642" s="1"/>
      <c r="AP642" s="1"/>
    </row>
    <row r="643" spans="17:42" ht="62.25" customHeight="1">
      <c r="Q643" s="1"/>
      <c r="R643" s="1"/>
      <c r="S643" s="1"/>
      <c r="T643" s="1"/>
      <c r="U643" s="1"/>
      <c r="V643" s="1"/>
      <c r="W643" s="1"/>
      <c r="X643" s="1"/>
      <c r="Y643" s="1"/>
      <c r="Z643" s="1"/>
      <c r="AB643" s="1"/>
      <c r="AC643" s="558"/>
      <c r="AD643" s="558"/>
      <c r="AE643" s="1"/>
      <c r="AF643" s="1"/>
      <c r="AG643" s="1"/>
      <c r="AH643" s="559"/>
      <c r="AI643" s="1"/>
      <c r="AJ643" s="1"/>
      <c r="AK643" s="1"/>
      <c r="AL643" s="1"/>
      <c r="AM643" s="1"/>
      <c r="AN643" s="1"/>
      <c r="AO643" s="1"/>
      <c r="AP643" s="1"/>
    </row>
    <row r="644" spans="17:42" ht="62.25" customHeight="1">
      <c r="Q644" s="1"/>
      <c r="R644" s="1"/>
      <c r="S644" s="1"/>
      <c r="T644" s="1"/>
      <c r="U644" s="1"/>
      <c r="V644" s="1"/>
      <c r="W644" s="1"/>
      <c r="X644" s="1"/>
      <c r="Y644" s="1"/>
      <c r="Z644" s="1"/>
      <c r="AB644" s="1"/>
      <c r="AC644" s="558"/>
      <c r="AD644" s="558"/>
      <c r="AE644" s="1"/>
      <c r="AF644" s="1"/>
      <c r="AG644" s="1"/>
      <c r="AH644" s="559"/>
      <c r="AI644" s="1"/>
      <c r="AJ644" s="1"/>
      <c r="AK644" s="1"/>
      <c r="AL644" s="1"/>
      <c r="AM644" s="1"/>
      <c r="AN644" s="1"/>
      <c r="AO644" s="1"/>
      <c r="AP644" s="1"/>
    </row>
    <row r="645" spans="17:42" ht="62.25" customHeight="1">
      <c r="Q645" s="1"/>
      <c r="R645" s="1"/>
      <c r="S645" s="1"/>
      <c r="T645" s="1"/>
      <c r="U645" s="1"/>
      <c r="V645" s="1"/>
      <c r="W645" s="1"/>
      <c r="X645" s="1"/>
      <c r="Y645" s="1"/>
      <c r="Z645" s="1"/>
      <c r="AB645" s="1"/>
      <c r="AC645" s="558"/>
      <c r="AD645" s="558"/>
      <c r="AE645" s="1"/>
      <c r="AF645" s="1"/>
      <c r="AG645" s="1"/>
      <c r="AH645" s="559"/>
      <c r="AI645" s="1"/>
      <c r="AJ645" s="1"/>
      <c r="AK645" s="1"/>
      <c r="AL645" s="1"/>
      <c r="AM645" s="1"/>
      <c r="AN645" s="1"/>
      <c r="AO645" s="1"/>
      <c r="AP645" s="1"/>
    </row>
    <row r="646" spans="17:42" ht="62.25" customHeight="1">
      <c r="Q646" s="1"/>
      <c r="R646" s="1"/>
      <c r="S646" s="1"/>
      <c r="T646" s="1"/>
      <c r="U646" s="1"/>
      <c r="V646" s="1"/>
      <c r="W646" s="1"/>
      <c r="X646" s="1"/>
      <c r="Y646" s="1"/>
      <c r="Z646" s="1"/>
      <c r="AB646" s="1"/>
      <c r="AC646" s="558"/>
      <c r="AD646" s="558"/>
      <c r="AE646" s="1"/>
      <c r="AF646" s="1"/>
      <c r="AG646" s="1"/>
      <c r="AH646" s="559"/>
      <c r="AI646" s="1"/>
      <c r="AJ646" s="1"/>
      <c r="AK646" s="1"/>
      <c r="AL646" s="1"/>
      <c r="AM646" s="1"/>
      <c r="AN646" s="1"/>
      <c r="AO646" s="1"/>
      <c r="AP646" s="1"/>
    </row>
    <row r="647" spans="17:42" ht="62.25" customHeight="1">
      <c r="Q647" s="1"/>
      <c r="R647" s="1"/>
      <c r="S647" s="1"/>
      <c r="T647" s="1"/>
      <c r="U647" s="1"/>
      <c r="V647" s="1"/>
      <c r="W647" s="1"/>
      <c r="X647" s="1"/>
      <c r="Y647" s="1"/>
      <c r="Z647" s="1"/>
      <c r="AB647" s="1"/>
      <c r="AC647" s="558"/>
      <c r="AD647" s="558"/>
      <c r="AE647" s="1"/>
      <c r="AF647" s="1"/>
      <c r="AG647" s="1"/>
      <c r="AH647" s="559"/>
      <c r="AI647" s="1"/>
      <c r="AJ647" s="1"/>
      <c r="AK647" s="1"/>
      <c r="AL647" s="1"/>
      <c r="AM647" s="1"/>
      <c r="AN647" s="1"/>
      <c r="AO647" s="1"/>
      <c r="AP647" s="1"/>
    </row>
    <row r="648" spans="17:42" ht="62.25" customHeight="1">
      <c r="Q648" s="1"/>
      <c r="R648" s="1"/>
      <c r="S648" s="1"/>
      <c r="T648" s="1"/>
      <c r="U648" s="1"/>
      <c r="V648" s="1"/>
      <c r="W648" s="1"/>
      <c r="X648" s="1"/>
      <c r="Y648" s="1"/>
      <c r="Z648" s="1"/>
      <c r="AB648" s="1"/>
      <c r="AC648" s="558"/>
      <c r="AD648" s="558"/>
      <c r="AE648" s="1"/>
      <c r="AF648" s="1"/>
      <c r="AG648" s="1"/>
      <c r="AH648" s="559"/>
      <c r="AI648" s="1"/>
      <c r="AJ648" s="1"/>
      <c r="AK648" s="1"/>
      <c r="AL648" s="1"/>
      <c r="AM648" s="1"/>
      <c r="AN648" s="1"/>
      <c r="AO648" s="1"/>
      <c r="AP648" s="1"/>
    </row>
    <row r="649" spans="17:42" ht="62.25" customHeight="1">
      <c r="Q649" s="1"/>
      <c r="R649" s="1"/>
      <c r="S649" s="1"/>
      <c r="T649" s="1"/>
      <c r="U649" s="1"/>
      <c r="V649" s="1"/>
      <c r="W649" s="1"/>
      <c r="X649" s="1"/>
      <c r="Y649" s="1"/>
      <c r="Z649" s="1"/>
      <c r="AB649" s="1"/>
      <c r="AC649" s="558"/>
      <c r="AD649" s="558"/>
      <c r="AE649" s="1"/>
      <c r="AF649" s="1"/>
      <c r="AG649" s="1"/>
      <c r="AH649" s="559"/>
      <c r="AI649" s="1"/>
      <c r="AJ649" s="1"/>
      <c r="AK649" s="1"/>
      <c r="AL649" s="1"/>
      <c r="AM649" s="1"/>
      <c r="AN649" s="1"/>
      <c r="AO649" s="1"/>
      <c r="AP649" s="1"/>
    </row>
    <row r="650" spans="17:42" ht="62.25" customHeight="1">
      <c r="Q650" s="1"/>
      <c r="R650" s="1"/>
      <c r="S650" s="1"/>
      <c r="T650" s="1"/>
      <c r="U650" s="1"/>
      <c r="V650" s="1"/>
      <c r="W650" s="1"/>
      <c r="X650" s="1"/>
      <c r="Y650" s="1"/>
      <c r="Z650" s="1"/>
      <c r="AB650" s="1"/>
      <c r="AC650" s="558"/>
      <c r="AD650" s="558"/>
      <c r="AE650" s="1"/>
      <c r="AF650" s="1"/>
      <c r="AG650" s="1"/>
      <c r="AH650" s="559"/>
      <c r="AI650" s="1"/>
      <c r="AJ650" s="1"/>
      <c r="AK650" s="1"/>
      <c r="AL650" s="1"/>
      <c r="AM650" s="1"/>
      <c r="AN650" s="1"/>
      <c r="AO650" s="1"/>
      <c r="AP650" s="1"/>
    </row>
    <row r="651" spans="17:42" ht="62.25" customHeight="1">
      <c r="Q651" s="1"/>
      <c r="R651" s="1"/>
      <c r="S651" s="1"/>
      <c r="T651" s="1"/>
      <c r="U651" s="1"/>
      <c r="V651" s="1"/>
      <c r="W651" s="1"/>
      <c r="X651" s="1"/>
      <c r="Y651" s="1"/>
      <c r="Z651" s="1"/>
      <c r="AB651" s="1"/>
      <c r="AC651" s="558"/>
      <c r="AD651" s="558"/>
      <c r="AE651" s="1"/>
      <c r="AF651" s="1"/>
      <c r="AG651" s="1"/>
      <c r="AH651" s="559"/>
      <c r="AI651" s="1"/>
      <c r="AJ651" s="1"/>
      <c r="AK651" s="1"/>
      <c r="AL651" s="1"/>
      <c r="AM651" s="1"/>
      <c r="AN651" s="1"/>
      <c r="AO651" s="1"/>
      <c r="AP651" s="1"/>
    </row>
    <row r="652" spans="17:42" ht="62.25" customHeight="1">
      <c r="Q652" s="1"/>
      <c r="R652" s="1"/>
      <c r="S652" s="1"/>
      <c r="T652" s="1"/>
      <c r="U652" s="1"/>
      <c r="V652" s="1"/>
      <c r="W652" s="1"/>
      <c r="X652" s="1"/>
      <c r="Y652" s="1"/>
      <c r="Z652" s="1"/>
      <c r="AB652" s="1"/>
      <c r="AC652" s="558"/>
      <c r="AD652" s="558"/>
      <c r="AE652" s="1"/>
      <c r="AF652" s="1"/>
      <c r="AG652" s="1"/>
      <c r="AH652" s="559"/>
      <c r="AI652" s="1"/>
      <c r="AJ652" s="1"/>
      <c r="AK652" s="1"/>
      <c r="AL652" s="1"/>
      <c r="AM652" s="1"/>
      <c r="AN652" s="1"/>
      <c r="AO652" s="1"/>
      <c r="AP652" s="1"/>
    </row>
    <row r="653" spans="17:42" ht="62.25" customHeight="1">
      <c r="Q653" s="1"/>
      <c r="R653" s="1"/>
      <c r="S653" s="1"/>
      <c r="T653" s="1"/>
      <c r="U653" s="1"/>
      <c r="V653" s="1"/>
      <c r="W653" s="1"/>
      <c r="X653" s="1"/>
      <c r="Y653" s="1"/>
      <c r="Z653" s="1"/>
      <c r="AB653" s="1"/>
      <c r="AC653" s="558"/>
      <c r="AD653" s="558"/>
      <c r="AE653" s="1"/>
      <c r="AF653" s="1"/>
      <c r="AG653" s="1"/>
      <c r="AH653" s="559"/>
      <c r="AI653" s="1"/>
      <c r="AJ653" s="1"/>
      <c r="AK653" s="1"/>
      <c r="AL653" s="1"/>
      <c r="AM653" s="1"/>
      <c r="AN653" s="1"/>
      <c r="AO653" s="1"/>
      <c r="AP653" s="1"/>
    </row>
    <row r="654" spans="17:42" ht="62.25" customHeight="1">
      <c r="Q654" s="1"/>
      <c r="R654" s="1"/>
      <c r="S654" s="1"/>
      <c r="T654" s="1"/>
      <c r="U654" s="1"/>
      <c r="V654" s="1"/>
      <c r="W654" s="1"/>
      <c r="X654" s="1"/>
      <c r="Y654" s="1"/>
      <c r="Z654" s="1"/>
      <c r="AB654" s="1"/>
      <c r="AC654" s="558"/>
      <c r="AD654" s="558"/>
      <c r="AE654" s="1"/>
      <c r="AF654" s="1"/>
      <c r="AG654" s="1"/>
      <c r="AH654" s="559"/>
      <c r="AI654" s="1"/>
      <c r="AJ654" s="1"/>
      <c r="AK654" s="1"/>
      <c r="AL654" s="1"/>
      <c r="AM654" s="1"/>
      <c r="AN654" s="1"/>
      <c r="AO654" s="1"/>
      <c r="AP654" s="1"/>
    </row>
    <row r="655" spans="17:42" ht="62.25" customHeight="1">
      <c r="Q655" s="1"/>
      <c r="R655" s="1"/>
      <c r="S655" s="1"/>
      <c r="T655" s="1"/>
      <c r="U655" s="1"/>
      <c r="V655" s="1"/>
      <c r="W655" s="1"/>
      <c r="X655" s="1"/>
      <c r="Y655" s="1"/>
      <c r="Z655" s="1"/>
      <c r="AB655" s="1"/>
      <c r="AC655" s="558"/>
      <c r="AD655" s="558"/>
      <c r="AE655" s="1"/>
      <c r="AF655" s="1"/>
      <c r="AG655" s="1"/>
      <c r="AH655" s="559"/>
      <c r="AI655" s="1"/>
      <c r="AJ655" s="1"/>
      <c r="AK655" s="1"/>
      <c r="AL655" s="1"/>
      <c r="AM655" s="1"/>
      <c r="AN655" s="1"/>
      <c r="AO655" s="1"/>
      <c r="AP655" s="1"/>
    </row>
    <row r="656" spans="17:42" ht="62.25" customHeight="1">
      <c r="Q656" s="1"/>
      <c r="R656" s="1"/>
      <c r="S656" s="1"/>
      <c r="T656" s="1"/>
      <c r="U656" s="1"/>
      <c r="V656" s="1"/>
      <c r="W656" s="1"/>
      <c r="X656" s="1"/>
      <c r="Y656" s="1"/>
      <c r="Z656" s="1"/>
      <c r="AB656" s="1"/>
      <c r="AC656" s="558"/>
      <c r="AD656" s="558"/>
      <c r="AE656" s="1"/>
      <c r="AF656" s="1"/>
      <c r="AG656" s="1"/>
      <c r="AH656" s="559"/>
      <c r="AI656" s="1"/>
      <c r="AJ656" s="1"/>
      <c r="AK656" s="1"/>
      <c r="AL656" s="1"/>
      <c r="AM656" s="1"/>
      <c r="AN656" s="1"/>
      <c r="AO656" s="1"/>
      <c r="AP656" s="1"/>
    </row>
    <row r="657" spans="17:42" ht="62.25" customHeight="1">
      <c r="Q657" s="1"/>
      <c r="R657" s="1"/>
      <c r="S657" s="1"/>
      <c r="T657" s="1"/>
      <c r="U657" s="1"/>
      <c r="V657" s="1"/>
      <c r="W657" s="1"/>
      <c r="X657" s="1"/>
      <c r="Y657" s="1"/>
      <c r="Z657" s="1"/>
      <c r="AB657" s="1"/>
      <c r="AC657" s="558"/>
      <c r="AD657" s="558"/>
      <c r="AE657" s="1"/>
      <c r="AF657" s="1"/>
      <c r="AG657" s="1"/>
      <c r="AH657" s="559"/>
      <c r="AI657" s="1"/>
      <c r="AJ657" s="1"/>
      <c r="AK657" s="1"/>
      <c r="AL657" s="1"/>
      <c r="AM657" s="1"/>
      <c r="AN657" s="1"/>
      <c r="AO657" s="1"/>
      <c r="AP657" s="1"/>
    </row>
    <row r="658" spans="17:42" ht="62.25" customHeight="1">
      <c r="Q658" s="1"/>
      <c r="R658" s="1"/>
      <c r="S658" s="1"/>
      <c r="T658" s="1"/>
      <c r="U658" s="1"/>
      <c r="V658" s="1"/>
      <c r="W658" s="1"/>
      <c r="X658" s="1"/>
      <c r="Y658" s="1"/>
      <c r="Z658" s="1"/>
      <c r="AB658" s="1"/>
      <c r="AC658" s="558"/>
      <c r="AD658" s="558"/>
      <c r="AE658" s="1"/>
      <c r="AF658" s="1"/>
      <c r="AG658" s="1"/>
      <c r="AH658" s="559"/>
      <c r="AI658" s="1"/>
      <c r="AJ658" s="1"/>
      <c r="AK658" s="1"/>
      <c r="AL658" s="1"/>
      <c r="AM658" s="1"/>
      <c r="AN658" s="1"/>
      <c r="AO658" s="1"/>
      <c r="AP658" s="1"/>
    </row>
    <row r="659" spans="17:42" ht="62.25" customHeight="1">
      <c r="Q659" s="1"/>
      <c r="R659" s="1"/>
      <c r="S659" s="1"/>
      <c r="T659" s="1"/>
      <c r="U659" s="1"/>
      <c r="V659" s="1"/>
      <c r="W659" s="1"/>
      <c r="X659" s="1"/>
      <c r="Y659" s="1"/>
      <c r="Z659" s="1"/>
      <c r="AB659" s="1"/>
      <c r="AC659" s="558"/>
      <c r="AD659" s="558"/>
      <c r="AE659" s="1"/>
      <c r="AF659" s="1"/>
      <c r="AG659" s="1"/>
      <c r="AH659" s="559"/>
      <c r="AI659" s="1"/>
      <c r="AJ659" s="1"/>
      <c r="AK659" s="1"/>
      <c r="AL659" s="1"/>
      <c r="AM659" s="1"/>
      <c r="AN659" s="1"/>
      <c r="AO659" s="1"/>
      <c r="AP659" s="1"/>
    </row>
    <row r="660" spans="17:42" ht="62.25" customHeight="1">
      <c r="Q660" s="1"/>
      <c r="R660" s="1"/>
      <c r="S660" s="1"/>
      <c r="T660" s="1"/>
      <c r="U660" s="1"/>
      <c r="V660" s="1"/>
      <c r="W660" s="1"/>
      <c r="X660" s="1"/>
      <c r="Y660" s="1"/>
      <c r="Z660" s="1"/>
      <c r="AB660" s="1"/>
      <c r="AC660" s="558"/>
      <c r="AD660" s="558"/>
      <c r="AE660" s="1"/>
      <c r="AF660" s="1"/>
      <c r="AG660" s="1"/>
      <c r="AH660" s="559"/>
      <c r="AI660" s="1"/>
      <c r="AJ660" s="1"/>
      <c r="AK660" s="1"/>
      <c r="AL660" s="1"/>
      <c r="AM660" s="1"/>
      <c r="AN660" s="1"/>
      <c r="AO660" s="1"/>
      <c r="AP660" s="1"/>
    </row>
    <row r="661" spans="17:42" ht="62.25" customHeight="1">
      <c r="Q661" s="1"/>
      <c r="R661" s="1"/>
      <c r="S661" s="1"/>
      <c r="T661" s="1"/>
      <c r="U661" s="1"/>
      <c r="V661" s="1"/>
      <c r="W661" s="1"/>
      <c r="X661" s="1"/>
      <c r="Y661" s="1"/>
      <c r="Z661" s="1"/>
      <c r="AB661" s="1"/>
      <c r="AC661" s="558"/>
      <c r="AD661" s="558"/>
      <c r="AE661" s="1"/>
      <c r="AF661" s="1"/>
      <c r="AG661" s="1"/>
      <c r="AH661" s="559"/>
      <c r="AI661" s="1"/>
      <c r="AJ661" s="1"/>
      <c r="AK661" s="1"/>
      <c r="AL661" s="1"/>
      <c r="AM661" s="1"/>
      <c r="AN661" s="1"/>
      <c r="AO661" s="1"/>
      <c r="AP661" s="1"/>
    </row>
    <row r="662" spans="17:42" ht="62.25" customHeight="1">
      <c r="Q662" s="1"/>
      <c r="R662" s="1"/>
      <c r="S662" s="1"/>
      <c r="T662" s="1"/>
      <c r="U662" s="1"/>
      <c r="V662" s="1"/>
      <c r="W662" s="1"/>
      <c r="X662" s="1"/>
      <c r="Y662" s="1"/>
      <c r="Z662" s="1"/>
      <c r="AB662" s="1"/>
      <c r="AC662" s="558"/>
      <c r="AD662" s="558"/>
      <c r="AE662" s="1"/>
      <c r="AF662" s="1"/>
      <c r="AG662" s="1"/>
      <c r="AH662" s="559"/>
      <c r="AI662" s="1"/>
      <c r="AJ662" s="1"/>
      <c r="AK662" s="1"/>
      <c r="AL662" s="1"/>
      <c r="AM662" s="1"/>
      <c r="AN662" s="1"/>
      <c r="AO662" s="1"/>
      <c r="AP662" s="1"/>
    </row>
    <row r="663" spans="17:42" ht="62.25" customHeight="1">
      <c r="Q663" s="1"/>
      <c r="R663" s="1"/>
      <c r="S663" s="1"/>
      <c r="T663" s="1"/>
      <c r="U663" s="1"/>
      <c r="V663" s="1"/>
      <c r="W663" s="1"/>
      <c r="X663" s="1"/>
      <c r="Y663" s="1"/>
      <c r="Z663" s="1"/>
      <c r="AB663" s="1"/>
      <c r="AC663" s="558"/>
      <c r="AD663" s="558"/>
      <c r="AE663" s="1"/>
      <c r="AF663" s="1"/>
      <c r="AG663" s="1"/>
      <c r="AH663" s="559"/>
      <c r="AI663" s="1"/>
      <c r="AJ663" s="1"/>
      <c r="AK663" s="1"/>
      <c r="AL663" s="1"/>
      <c r="AM663" s="1"/>
      <c r="AN663" s="1"/>
      <c r="AO663" s="1"/>
      <c r="AP663" s="1"/>
    </row>
    <row r="664" spans="17:42" ht="62.25" customHeight="1">
      <c r="Q664" s="1"/>
      <c r="R664" s="1"/>
      <c r="S664" s="1"/>
      <c r="T664" s="1"/>
      <c r="U664" s="1"/>
      <c r="V664" s="1"/>
      <c r="W664" s="1"/>
      <c r="X664" s="1"/>
      <c r="Y664" s="1"/>
      <c r="Z664" s="1"/>
      <c r="AB664" s="1"/>
      <c r="AC664" s="558"/>
      <c r="AD664" s="558"/>
      <c r="AE664" s="1"/>
      <c r="AF664" s="1"/>
      <c r="AG664" s="1"/>
      <c r="AH664" s="559"/>
      <c r="AI664" s="1"/>
      <c r="AJ664" s="1"/>
      <c r="AK664" s="1"/>
      <c r="AL664" s="1"/>
      <c r="AM664" s="1"/>
      <c r="AN664" s="1"/>
      <c r="AO664" s="1"/>
      <c r="AP664" s="1"/>
    </row>
    <row r="665" spans="17:42" ht="62.25" customHeight="1">
      <c r="Q665" s="1"/>
      <c r="R665" s="1"/>
      <c r="S665" s="1"/>
      <c r="T665" s="1"/>
      <c r="U665" s="1"/>
      <c r="V665" s="1"/>
      <c r="W665" s="1"/>
      <c r="X665" s="1"/>
      <c r="Y665" s="1"/>
      <c r="Z665" s="1"/>
      <c r="AB665" s="1"/>
      <c r="AC665" s="558"/>
      <c r="AD665" s="558"/>
      <c r="AE665" s="1"/>
      <c r="AF665" s="1"/>
      <c r="AG665" s="1"/>
      <c r="AH665" s="559"/>
      <c r="AI665" s="1"/>
      <c r="AJ665" s="1"/>
      <c r="AK665" s="1"/>
      <c r="AL665" s="1"/>
      <c r="AM665" s="1"/>
      <c r="AN665" s="1"/>
      <c r="AO665" s="1"/>
      <c r="AP665" s="1"/>
    </row>
    <row r="666" spans="17:42" ht="62.25" customHeight="1">
      <c r="Q666" s="1"/>
      <c r="R666" s="1"/>
      <c r="S666" s="1"/>
      <c r="T666" s="1"/>
      <c r="U666" s="1"/>
      <c r="V666" s="1"/>
      <c r="W666" s="1"/>
      <c r="X666" s="1"/>
      <c r="Y666" s="1"/>
      <c r="Z666" s="1"/>
      <c r="AB666" s="1"/>
      <c r="AC666" s="558"/>
      <c r="AD666" s="558"/>
      <c r="AE666" s="1"/>
      <c r="AF666" s="1"/>
      <c r="AG666" s="1"/>
      <c r="AH666" s="559"/>
      <c r="AI666" s="1"/>
      <c r="AJ666" s="1"/>
      <c r="AK666" s="1"/>
      <c r="AL666" s="1"/>
      <c r="AM666" s="1"/>
      <c r="AN666" s="1"/>
      <c r="AO666" s="1"/>
      <c r="AP666" s="1"/>
    </row>
    <row r="667" spans="17:42" ht="62.25" customHeight="1">
      <c r="Q667" s="1"/>
      <c r="R667" s="1"/>
      <c r="S667" s="1"/>
      <c r="T667" s="1"/>
      <c r="U667" s="1"/>
      <c r="V667" s="1"/>
      <c r="W667" s="1"/>
      <c r="X667" s="1"/>
      <c r="Y667" s="1"/>
      <c r="Z667" s="1"/>
      <c r="AB667" s="1"/>
      <c r="AC667" s="558"/>
      <c r="AD667" s="558"/>
      <c r="AE667" s="1"/>
      <c r="AF667" s="1"/>
      <c r="AG667" s="1"/>
      <c r="AH667" s="559"/>
      <c r="AI667" s="1"/>
      <c r="AJ667" s="1"/>
      <c r="AK667" s="1"/>
      <c r="AL667" s="1"/>
      <c r="AM667" s="1"/>
      <c r="AN667" s="1"/>
      <c r="AO667" s="1"/>
      <c r="AP667" s="1"/>
    </row>
    <row r="668" spans="17:42" ht="62.25" customHeight="1">
      <c r="Q668" s="1"/>
      <c r="R668" s="1"/>
      <c r="S668" s="1"/>
      <c r="T668" s="1"/>
      <c r="U668" s="1"/>
      <c r="V668" s="1"/>
      <c r="W668" s="1"/>
      <c r="X668" s="1"/>
      <c r="Y668" s="1"/>
      <c r="Z668" s="1"/>
      <c r="AB668" s="1"/>
      <c r="AC668" s="558"/>
      <c r="AD668" s="558"/>
      <c r="AE668" s="1"/>
      <c r="AF668" s="1"/>
      <c r="AG668" s="1"/>
      <c r="AH668" s="559"/>
      <c r="AI668" s="1"/>
      <c r="AJ668" s="1"/>
      <c r="AK668" s="1"/>
      <c r="AL668" s="1"/>
      <c r="AM668" s="1"/>
      <c r="AN668" s="1"/>
      <c r="AO668" s="1"/>
      <c r="AP668" s="1"/>
    </row>
    <row r="669" spans="17:42" ht="62.25" customHeight="1">
      <c r="Q669" s="1"/>
      <c r="R669" s="1"/>
      <c r="S669" s="1"/>
      <c r="T669" s="1"/>
      <c r="U669" s="1"/>
      <c r="V669" s="1"/>
      <c r="W669" s="1"/>
      <c r="X669" s="1"/>
      <c r="Y669" s="1"/>
      <c r="Z669" s="1"/>
      <c r="AB669" s="1"/>
      <c r="AC669" s="558"/>
      <c r="AD669" s="558"/>
      <c r="AE669" s="1"/>
      <c r="AF669" s="1"/>
      <c r="AG669" s="1"/>
      <c r="AH669" s="559"/>
      <c r="AI669" s="1"/>
      <c r="AJ669" s="1"/>
      <c r="AK669" s="1"/>
      <c r="AL669" s="1"/>
      <c r="AM669" s="1"/>
      <c r="AN669" s="1"/>
      <c r="AO669" s="1"/>
      <c r="AP669" s="1"/>
    </row>
    <row r="670" spans="17:42" ht="62.25" customHeight="1">
      <c r="Q670" s="1"/>
      <c r="R670" s="1"/>
      <c r="S670" s="1"/>
      <c r="T670" s="1"/>
      <c r="U670" s="1"/>
      <c r="V670" s="1"/>
      <c r="W670" s="1"/>
      <c r="X670" s="1"/>
      <c r="Y670" s="1"/>
      <c r="Z670" s="1"/>
      <c r="AB670" s="1"/>
      <c r="AC670" s="558"/>
      <c r="AD670" s="558"/>
      <c r="AE670" s="1"/>
      <c r="AF670" s="1"/>
      <c r="AG670" s="1"/>
      <c r="AH670" s="559"/>
      <c r="AI670" s="1"/>
      <c r="AJ670" s="1"/>
      <c r="AK670" s="1"/>
      <c r="AL670" s="1"/>
      <c r="AM670" s="1"/>
      <c r="AN670" s="1"/>
      <c r="AO670" s="1"/>
      <c r="AP670" s="1"/>
    </row>
    <row r="671" spans="17:42" ht="62.25" customHeight="1">
      <c r="Q671" s="1"/>
      <c r="R671" s="1"/>
      <c r="S671" s="1"/>
      <c r="T671" s="1"/>
      <c r="U671" s="1"/>
      <c r="V671" s="1"/>
      <c r="W671" s="1"/>
      <c r="X671" s="1"/>
      <c r="Y671" s="1"/>
      <c r="Z671" s="1"/>
      <c r="AB671" s="1"/>
      <c r="AC671" s="558"/>
      <c r="AD671" s="558"/>
      <c r="AE671" s="1"/>
      <c r="AF671" s="1"/>
      <c r="AG671" s="1"/>
      <c r="AH671" s="559"/>
      <c r="AI671" s="1"/>
      <c r="AJ671" s="1"/>
      <c r="AK671" s="1"/>
      <c r="AL671" s="1"/>
      <c r="AM671" s="1"/>
      <c r="AN671" s="1"/>
      <c r="AO671" s="1"/>
      <c r="AP671" s="1"/>
    </row>
    <row r="672" spans="17:42" ht="62.25" customHeight="1">
      <c r="Q672" s="1"/>
      <c r="R672" s="1"/>
      <c r="S672" s="1"/>
      <c r="T672" s="1"/>
      <c r="U672" s="1"/>
      <c r="V672" s="1"/>
      <c r="W672" s="1"/>
      <c r="X672" s="1"/>
      <c r="Y672" s="1"/>
      <c r="Z672" s="1"/>
      <c r="AB672" s="1"/>
      <c r="AC672" s="558"/>
      <c r="AD672" s="558"/>
      <c r="AE672" s="1"/>
      <c r="AF672" s="1"/>
      <c r="AG672" s="1"/>
      <c r="AH672" s="559"/>
      <c r="AI672" s="1"/>
      <c r="AJ672" s="1"/>
      <c r="AK672" s="1"/>
      <c r="AL672" s="1"/>
      <c r="AM672" s="1"/>
      <c r="AN672" s="1"/>
      <c r="AO672" s="1"/>
      <c r="AP672" s="1"/>
    </row>
    <row r="673" spans="17:42" ht="62.25" customHeight="1">
      <c r="Q673" s="1"/>
      <c r="R673" s="1"/>
      <c r="S673" s="1"/>
      <c r="T673" s="1"/>
      <c r="U673" s="1"/>
      <c r="V673" s="1"/>
      <c r="W673" s="1"/>
      <c r="X673" s="1"/>
      <c r="Y673" s="1"/>
      <c r="Z673" s="1"/>
      <c r="AB673" s="1"/>
      <c r="AC673" s="558"/>
      <c r="AD673" s="558"/>
      <c r="AE673" s="1"/>
      <c r="AF673" s="1"/>
      <c r="AG673" s="1"/>
      <c r="AH673" s="559"/>
      <c r="AI673" s="1"/>
      <c r="AJ673" s="1"/>
      <c r="AK673" s="1"/>
      <c r="AL673" s="1"/>
      <c r="AM673" s="1"/>
      <c r="AN673" s="1"/>
      <c r="AO673" s="1"/>
      <c r="AP673" s="1"/>
    </row>
    <row r="674" spans="17:42" ht="62.25" customHeight="1">
      <c r="Q674" s="1"/>
      <c r="R674" s="1"/>
      <c r="S674" s="1"/>
      <c r="T674" s="1"/>
      <c r="U674" s="1"/>
      <c r="V674" s="1"/>
      <c r="W674" s="1"/>
      <c r="X674" s="1"/>
      <c r="Y674" s="1"/>
      <c r="Z674" s="1"/>
      <c r="AB674" s="1"/>
      <c r="AC674" s="558"/>
      <c r="AD674" s="558"/>
      <c r="AE674" s="1"/>
      <c r="AF674" s="1"/>
      <c r="AG674" s="1"/>
      <c r="AH674" s="559"/>
      <c r="AI674" s="1"/>
      <c r="AJ674" s="1"/>
      <c r="AK674" s="1"/>
      <c r="AL674" s="1"/>
      <c r="AM674" s="1"/>
      <c r="AN674" s="1"/>
      <c r="AO674" s="1"/>
      <c r="AP674" s="1"/>
    </row>
    <row r="675" spans="17:42" ht="62.25" customHeight="1">
      <c r="Q675" s="1"/>
      <c r="R675" s="1"/>
      <c r="S675" s="1"/>
      <c r="T675" s="1"/>
      <c r="U675" s="1"/>
      <c r="V675" s="1"/>
      <c r="W675" s="1"/>
      <c r="X675" s="1"/>
      <c r="Y675" s="1"/>
      <c r="Z675" s="1"/>
      <c r="AB675" s="1"/>
      <c r="AC675" s="558"/>
      <c r="AD675" s="558"/>
      <c r="AE675" s="1"/>
      <c r="AF675" s="1"/>
      <c r="AG675" s="1"/>
      <c r="AH675" s="559"/>
      <c r="AI675" s="1"/>
      <c r="AJ675" s="1"/>
      <c r="AK675" s="1"/>
      <c r="AL675" s="1"/>
      <c r="AM675" s="1"/>
      <c r="AN675" s="1"/>
      <c r="AO675" s="1"/>
      <c r="AP675" s="1"/>
    </row>
    <row r="676" spans="17:42" ht="62.25" customHeight="1">
      <c r="Q676" s="1"/>
      <c r="R676" s="1"/>
      <c r="S676" s="1"/>
      <c r="T676" s="1"/>
      <c r="U676" s="1"/>
      <c r="V676" s="1"/>
      <c r="W676" s="1"/>
      <c r="X676" s="1"/>
      <c r="Y676" s="1"/>
      <c r="Z676" s="1"/>
      <c r="AB676" s="1"/>
      <c r="AC676" s="558"/>
      <c r="AD676" s="558"/>
      <c r="AE676" s="1"/>
      <c r="AF676" s="1"/>
      <c r="AG676" s="1"/>
      <c r="AH676" s="559"/>
      <c r="AI676" s="1"/>
      <c r="AJ676" s="1"/>
      <c r="AK676" s="1"/>
      <c r="AL676" s="1"/>
      <c r="AM676" s="1"/>
      <c r="AN676" s="1"/>
      <c r="AO676" s="1"/>
      <c r="AP676" s="1"/>
    </row>
    <row r="677" spans="17:42" ht="62.25" customHeight="1">
      <c r="Q677" s="1"/>
      <c r="R677" s="1"/>
      <c r="S677" s="1"/>
      <c r="T677" s="1"/>
      <c r="U677" s="1"/>
      <c r="V677" s="1"/>
      <c r="W677" s="1"/>
      <c r="X677" s="1"/>
      <c r="Y677" s="1"/>
      <c r="Z677" s="1"/>
      <c r="AB677" s="1"/>
      <c r="AC677" s="558"/>
      <c r="AD677" s="558"/>
      <c r="AE677" s="1"/>
      <c r="AF677" s="1"/>
      <c r="AG677" s="1"/>
      <c r="AH677" s="559"/>
      <c r="AI677" s="1"/>
      <c r="AJ677" s="1"/>
      <c r="AK677" s="1"/>
      <c r="AL677" s="1"/>
      <c r="AM677" s="1"/>
      <c r="AN677" s="1"/>
      <c r="AO677" s="1"/>
      <c r="AP677" s="1"/>
    </row>
    <row r="678" spans="17:42" ht="62.25" customHeight="1">
      <c r="Q678" s="1"/>
      <c r="R678" s="1"/>
      <c r="S678" s="1"/>
      <c r="T678" s="1"/>
      <c r="U678" s="1"/>
      <c r="V678" s="1"/>
      <c r="W678" s="1"/>
      <c r="X678" s="1"/>
      <c r="Y678" s="1"/>
      <c r="Z678" s="1"/>
      <c r="AB678" s="1"/>
      <c r="AC678" s="558"/>
      <c r="AD678" s="558"/>
      <c r="AE678" s="1"/>
      <c r="AF678" s="1"/>
      <c r="AG678" s="1"/>
      <c r="AH678" s="559"/>
      <c r="AI678" s="1"/>
      <c r="AJ678" s="1"/>
      <c r="AK678" s="1"/>
      <c r="AL678" s="1"/>
      <c r="AM678" s="1"/>
      <c r="AN678" s="1"/>
      <c r="AO678" s="1"/>
      <c r="AP678" s="1"/>
    </row>
    <row r="679" spans="17:42" ht="62.25" customHeight="1">
      <c r="Q679" s="1"/>
      <c r="R679" s="1"/>
      <c r="S679" s="1"/>
      <c r="T679" s="1"/>
      <c r="U679" s="1"/>
      <c r="V679" s="1"/>
      <c r="W679" s="1"/>
      <c r="X679" s="1"/>
      <c r="Y679" s="1"/>
      <c r="Z679" s="1"/>
      <c r="AB679" s="1"/>
      <c r="AC679" s="558"/>
      <c r="AD679" s="558"/>
      <c r="AE679" s="1"/>
      <c r="AF679" s="1"/>
      <c r="AG679" s="1"/>
      <c r="AH679" s="559"/>
      <c r="AI679" s="1"/>
      <c r="AJ679" s="1"/>
      <c r="AK679" s="1"/>
      <c r="AL679" s="1"/>
      <c r="AM679" s="1"/>
      <c r="AN679" s="1"/>
      <c r="AO679" s="1"/>
      <c r="AP679" s="1"/>
    </row>
    <row r="680" spans="17:42" ht="62.25" customHeight="1">
      <c r="Q680" s="1"/>
      <c r="R680" s="1"/>
      <c r="S680" s="1"/>
      <c r="T680" s="1"/>
      <c r="U680" s="1"/>
      <c r="V680" s="1"/>
      <c r="W680" s="1"/>
      <c r="X680" s="1"/>
      <c r="Y680" s="1"/>
      <c r="Z680" s="1"/>
      <c r="AB680" s="1"/>
      <c r="AC680" s="558"/>
      <c r="AD680" s="558"/>
      <c r="AE680" s="1"/>
      <c r="AF680" s="1"/>
      <c r="AG680" s="1"/>
      <c r="AH680" s="559"/>
      <c r="AI680" s="1"/>
      <c r="AJ680" s="1"/>
      <c r="AK680" s="1"/>
      <c r="AL680" s="1"/>
      <c r="AM680" s="1"/>
      <c r="AN680" s="1"/>
      <c r="AO680" s="1"/>
      <c r="AP680" s="1"/>
    </row>
    <row r="681" spans="17:42" ht="62.25" customHeight="1">
      <c r="Q681" s="1"/>
      <c r="R681" s="1"/>
      <c r="S681" s="1"/>
      <c r="T681" s="1"/>
      <c r="U681" s="1"/>
      <c r="V681" s="1"/>
      <c r="W681" s="1"/>
      <c r="X681" s="1"/>
      <c r="Y681" s="1"/>
      <c r="Z681" s="1"/>
      <c r="AB681" s="1"/>
      <c r="AC681" s="558"/>
      <c r="AD681" s="558"/>
      <c r="AE681" s="1"/>
      <c r="AF681" s="1"/>
      <c r="AG681" s="1"/>
      <c r="AH681" s="559"/>
      <c r="AI681" s="1"/>
      <c r="AJ681" s="1"/>
      <c r="AK681" s="1"/>
      <c r="AL681" s="1"/>
      <c r="AM681" s="1"/>
      <c r="AN681" s="1"/>
      <c r="AO681" s="1"/>
      <c r="AP681" s="1"/>
    </row>
    <row r="682" spans="17:42" ht="62.25" customHeight="1">
      <c r="Q682" s="1"/>
      <c r="R682" s="1"/>
      <c r="S682" s="1"/>
      <c r="T682" s="1"/>
      <c r="U682" s="1"/>
      <c r="V682" s="1"/>
      <c r="W682" s="1"/>
      <c r="X682" s="1"/>
      <c r="Y682" s="1"/>
      <c r="Z682" s="1"/>
      <c r="AB682" s="1"/>
      <c r="AC682" s="558"/>
      <c r="AD682" s="558"/>
      <c r="AE682" s="1"/>
      <c r="AF682" s="1"/>
      <c r="AG682" s="1"/>
      <c r="AH682" s="559"/>
      <c r="AI682" s="1"/>
      <c r="AJ682" s="1"/>
      <c r="AK682" s="1"/>
      <c r="AL682" s="1"/>
      <c r="AM682" s="1"/>
      <c r="AN682" s="1"/>
      <c r="AO682" s="1"/>
      <c r="AP682" s="1"/>
    </row>
    <row r="683" spans="17:42" ht="62.25" customHeight="1">
      <c r="Q683" s="1"/>
      <c r="R683" s="1"/>
      <c r="S683" s="1"/>
      <c r="T683" s="1"/>
      <c r="U683" s="1"/>
      <c r="V683" s="1"/>
      <c r="W683" s="1"/>
      <c r="X683" s="1"/>
      <c r="Y683" s="1"/>
      <c r="Z683" s="1"/>
      <c r="AB683" s="1"/>
      <c r="AC683" s="558"/>
      <c r="AD683" s="558"/>
      <c r="AE683" s="1"/>
      <c r="AF683" s="1"/>
      <c r="AG683" s="1"/>
      <c r="AH683" s="559"/>
      <c r="AI683" s="1"/>
      <c r="AJ683" s="1"/>
      <c r="AK683" s="1"/>
      <c r="AL683" s="1"/>
      <c r="AM683" s="1"/>
      <c r="AN683" s="1"/>
      <c r="AO683" s="1"/>
      <c r="AP683" s="1"/>
    </row>
    <row r="684" spans="17:42" ht="62.25" customHeight="1">
      <c r="Q684" s="1"/>
      <c r="R684" s="1"/>
      <c r="S684" s="1"/>
      <c r="T684" s="1"/>
      <c r="U684" s="1"/>
      <c r="V684" s="1"/>
      <c r="W684" s="1"/>
      <c r="X684" s="1"/>
      <c r="Y684" s="1"/>
      <c r="Z684" s="1"/>
      <c r="AB684" s="1"/>
      <c r="AC684" s="558"/>
      <c r="AD684" s="558"/>
      <c r="AE684" s="1"/>
      <c r="AF684" s="1"/>
      <c r="AG684" s="1"/>
      <c r="AH684" s="559"/>
      <c r="AI684" s="1"/>
      <c r="AJ684" s="1"/>
      <c r="AK684" s="1"/>
      <c r="AL684" s="1"/>
      <c r="AM684" s="1"/>
      <c r="AN684" s="1"/>
      <c r="AO684" s="1"/>
      <c r="AP684" s="1"/>
    </row>
    <row r="685" spans="17:42" ht="62.25" customHeight="1">
      <c r="Q685" s="1"/>
      <c r="R685" s="1"/>
      <c r="S685" s="1"/>
      <c r="T685" s="1"/>
      <c r="U685" s="1"/>
      <c r="V685" s="1"/>
      <c r="W685" s="1"/>
      <c r="X685" s="1"/>
      <c r="Y685" s="1"/>
      <c r="Z685" s="1"/>
      <c r="AB685" s="1"/>
      <c r="AC685" s="558"/>
      <c r="AD685" s="558"/>
      <c r="AE685" s="1"/>
      <c r="AF685" s="1"/>
      <c r="AG685" s="1"/>
      <c r="AH685" s="559"/>
      <c r="AI685" s="1"/>
      <c r="AJ685" s="1"/>
      <c r="AK685" s="1"/>
      <c r="AL685" s="1"/>
      <c r="AM685" s="1"/>
      <c r="AN685" s="1"/>
      <c r="AO685" s="1"/>
      <c r="AP685" s="1"/>
    </row>
    <row r="686" spans="17:42" ht="62.25" customHeight="1">
      <c r="Q686" s="1"/>
      <c r="R686" s="1"/>
      <c r="S686" s="1"/>
      <c r="T686" s="1"/>
      <c r="U686" s="1"/>
      <c r="V686" s="1"/>
      <c r="W686" s="1"/>
      <c r="X686" s="1"/>
      <c r="Y686" s="1"/>
      <c r="Z686" s="1"/>
      <c r="AB686" s="1"/>
      <c r="AC686" s="558"/>
      <c r="AD686" s="558"/>
      <c r="AE686" s="1"/>
      <c r="AF686" s="1"/>
      <c r="AG686" s="1"/>
      <c r="AH686" s="559"/>
      <c r="AI686" s="1"/>
      <c r="AJ686" s="1"/>
      <c r="AK686" s="1"/>
      <c r="AL686" s="1"/>
      <c r="AM686" s="1"/>
      <c r="AN686" s="1"/>
      <c r="AO686" s="1"/>
      <c r="AP686" s="1"/>
    </row>
    <row r="687" spans="17:42" ht="62.25" customHeight="1">
      <c r="Q687" s="1"/>
      <c r="R687" s="1"/>
      <c r="S687" s="1"/>
      <c r="T687" s="1"/>
      <c r="U687" s="1"/>
      <c r="V687" s="1"/>
      <c r="W687" s="1"/>
      <c r="X687" s="1"/>
      <c r="Y687" s="1"/>
      <c r="Z687" s="1"/>
      <c r="AB687" s="1"/>
      <c r="AC687" s="558"/>
      <c r="AD687" s="558"/>
      <c r="AE687" s="1"/>
      <c r="AF687" s="1"/>
      <c r="AG687" s="1"/>
      <c r="AH687" s="559"/>
      <c r="AI687" s="1"/>
      <c r="AJ687" s="1"/>
      <c r="AK687" s="1"/>
      <c r="AL687" s="1"/>
      <c r="AM687" s="1"/>
      <c r="AN687" s="1"/>
      <c r="AO687" s="1"/>
      <c r="AP687" s="1"/>
    </row>
    <row r="688" spans="17:42" ht="62.25" customHeight="1">
      <c r="Q688" s="1"/>
      <c r="R688" s="1"/>
      <c r="S688" s="1"/>
      <c r="T688" s="1"/>
      <c r="U688" s="1"/>
      <c r="V688" s="1"/>
      <c r="W688" s="1"/>
      <c r="X688" s="1"/>
      <c r="Y688" s="1"/>
      <c r="Z688" s="1"/>
      <c r="AB688" s="1"/>
      <c r="AC688" s="558"/>
      <c r="AD688" s="558"/>
      <c r="AE688" s="1"/>
      <c r="AF688" s="1"/>
      <c r="AG688" s="1"/>
      <c r="AH688" s="559"/>
      <c r="AI688" s="1"/>
      <c r="AJ688" s="1"/>
      <c r="AK688" s="1"/>
      <c r="AL688" s="1"/>
      <c r="AM688" s="1"/>
      <c r="AN688" s="1"/>
      <c r="AO688" s="1"/>
      <c r="AP688" s="1"/>
    </row>
    <row r="689" spans="17:42" ht="62.25" customHeight="1">
      <c r="Q689" s="1"/>
      <c r="R689" s="1"/>
      <c r="S689" s="1"/>
      <c r="T689" s="1"/>
      <c r="U689" s="1"/>
      <c r="V689" s="1"/>
      <c r="W689" s="1"/>
      <c r="X689" s="1"/>
      <c r="Y689" s="1"/>
      <c r="Z689" s="1"/>
      <c r="AB689" s="1"/>
      <c r="AC689" s="558"/>
      <c r="AD689" s="558"/>
      <c r="AE689" s="1"/>
      <c r="AF689" s="1"/>
      <c r="AG689" s="1"/>
      <c r="AH689" s="559"/>
      <c r="AI689" s="1"/>
      <c r="AJ689" s="1"/>
      <c r="AK689" s="1"/>
      <c r="AL689" s="1"/>
      <c r="AM689" s="1"/>
      <c r="AN689" s="1"/>
      <c r="AO689" s="1"/>
      <c r="AP689" s="1"/>
    </row>
    <row r="690" spans="17:42" ht="62.25" customHeight="1">
      <c r="Q690" s="1"/>
      <c r="R690" s="1"/>
      <c r="S690" s="1"/>
      <c r="T690" s="1"/>
      <c r="U690" s="1"/>
      <c r="V690" s="1"/>
      <c r="W690" s="1"/>
      <c r="X690" s="1"/>
      <c r="Y690" s="1"/>
      <c r="Z690" s="1"/>
      <c r="AB690" s="1"/>
      <c r="AC690" s="558"/>
      <c r="AD690" s="558"/>
      <c r="AE690" s="1"/>
      <c r="AF690" s="1"/>
      <c r="AG690" s="1"/>
      <c r="AH690" s="559"/>
      <c r="AI690" s="1"/>
      <c r="AJ690" s="1"/>
      <c r="AK690" s="1"/>
      <c r="AL690" s="1"/>
      <c r="AM690" s="1"/>
      <c r="AN690" s="1"/>
      <c r="AO690" s="1"/>
      <c r="AP690" s="1"/>
    </row>
    <row r="691" spans="17:42" ht="62.25" customHeight="1">
      <c r="Q691" s="1"/>
      <c r="R691" s="1"/>
      <c r="S691" s="1"/>
      <c r="T691" s="1"/>
      <c r="U691" s="1"/>
      <c r="V691" s="1"/>
      <c r="W691" s="1"/>
      <c r="X691" s="1"/>
      <c r="Y691" s="1"/>
      <c r="Z691" s="1"/>
      <c r="AB691" s="1"/>
      <c r="AC691" s="558"/>
      <c r="AD691" s="558"/>
      <c r="AE691" s="1"/>
      <c r="AF691" s="1"/>
      <c r="AG691" s="1"/>
      <c r="AH691" s="559"/>
      <c r="AI691" s="1"/>
      <c r="AJ691" s="1"/>
      <c r="AK691" s="1"/>
      <c r="AL691" s="1"/>
      <c r="AM691" s="1"/>
      <c r="AN691" s="1"/>
      <c r="AO691" s="1"/>
      <c r="AP691" s="1"/>
    </row>
    <row r="692" spans="17:42" ht="62.25" customHeight="1">
      <c r="Q692" s="1"/>
      <c r="R692" s="1"/>
      <c r="S692" s="1"/>
      <c r="T692" s="1"/>
      <c r="U692" s="1"/>
      <c r="V692" s="1"/>
      <c r="W692" s="1"/>
      <c r="X692" s="1"/>
      <c r="Y692" s="1"/>
      <c r="Z692" s="1"/>
      <c r="AB692" s="1"/>
      <c r="AC692" s="558"/>
      <c r="AD692" s="558"/>
      <c r="AE692" s="1"/>
      <c r="AF692" s="1"/>
      <c r="AG692" s="1"/>
      <c r="AH692" s="559"/>
      <c r="AI692" s="1"/>
      <c r="AJ692" s="1"/>
      <c r="AK692" s="1"/>
      <c r="AL692" s="1"/>
      <c r="AM692" s="1"/>
      <c r="AN692" s="1"/>
      <c r="AO692" s="1"/>
      <c r="AP692" s="1"/>
    </row>
    <row r="693" spans="17:42" ht="62.25" customHeight="1">
      <c r="Q693" s="1"/>
      <c r="R693" s="1"/>
      <c r="S693" s="1"/>
      <c r="T693" s="1"/>
      <c r="U693" s="1"/>
      <c r="V693" s="1"/>
      <c r="W693" s="1"/>
      <c r="X693" s="1"/>
      <c r="Y693" s="1"/>
      <c r="Z693" s="1"/>
      <c r="AB693" s="1"/>
      <c r="AC693" s="558"/>
      <c r="AD693" s="558"/>
      <c r="AE693" s="1"/>
      <c r="AF693" s="1"/>
      <c r="AG693" s="1"/>
      <c r="AH693" s="559"/>
      <c r="AI693" s="1"/>
      <c r="AJ693" s="1"/>
      <c r="AK693" s="1"/>
      <c r="AL693" s="1"/>
      <c r="AM693" s="1"/>
      <c r="AN693" s="1"/>
      <c r="AO693" s="1"/>
      <c r="AP693" s="1"/>
    </row>
    <row r="694" spans="17:42" ht="62.25" customHeight="1">
      <c r="Q694" s="1"/>
      <c r="R694" s="1"/>
      <c r="S694" s="1"/>
      <c r="T694" s="1"/>
      <c r="U694" s="1"/>
      <c r="V694" s="1"/>
      <c r="W694" s="1"/>
      <c r="X694" s="1"/>
      <c r="Y694" s="1"/>
      <c r="Z694" s="1"/>
      <c r="AB694" s="1"/>
      <c r="AC694" s="558"/>
      <c r="AD694" s="558"/>
      <c r="AE694" s="1"/>
      <c r="AF694" s="1"/>
      <c r="AG694" s="1"/>
      <c r="AH694" s="559"/>
      <c r="AI694" s="1"/>
      <c r="AJ694" s="1"/>
      <c r="AK694" s="1"/>
      <c r="AL694" s="1"/>
      <c r="AM694" s="1"/>
      <c r="AN694" s="1"/>
      <c r="AO694" s="1"/>
      <c r="AP694" s="1"/>
    </row>
    <row r="695" spans="17:42" ht="62.25" customHeight="1">
      <c r="Q695" s="1"/>
      <c r="R695" s="1"/>
      <c r="S695" s="1"/>
      <c r="T695" s="1"/>
      <c r="U695" s="1"/>
      <c r="V695" s="1"/>
      <c r="W695" s="1"/>
      <c r="X695" s="1"/>
      <c r="Y695" s="1"/>
      <c r="Z695" s="1"/>
      <c r="AB695" s="1"/>
      <c r="AC695" s="558"/>
      <c r="AD695" s="558"/>
      <c r="AE695" s="1"/>
      <c r="AF695" s="1"/>
      <c r="AG695" s="1"/>
      <c r="AH695" s="559"/>
      <c r="AI695" s="1"/>
      <c r="AJ695" s="1"/>
      <c r="AK695" s="1"/>
      <c r="AL695" s="1"/>
      <c r="AM695" s="1"/>
      <c r="AN695" s="1"/>
      <c r="AO695" s="1"/>
      <c r="AP695" s="1"/>
    </row>
    <row r="696" spans="17:42" ht="62.25" customHeight="1">
      <c r="Q696" s="1"/>
      <c r="R696" s="1"/>
      <c r="S696" s="1"/>
      <c r="T696" s="1"/>
      <c r="U696" s="1"/>
      <c r="V696" s="1"/>
      <c r="W696" s="1"/>
      <c r="X696" s="1"/>
      <c r="Y696" s="1"/>
      <c r="Z696" s="1"/>
      <c r="AB696" s="1"/>
      <c r="AC696" s="558"/>
      <c r="AD696" s="558"/>
      <c r="AE696" s="1"/>
      <c r="AF696" s="1"/>
      <c r="AG696" s="1"/>
      <c r="AH696" s="559"/>
      <c r="AI696" s="1"/>
      <c r="AJ696" s="1"/>
      <c r="AK696" s="1"/>
      <c r="AL696" s="1"/>
      <c r="AM696" s="1"/>
      <c r="AN696" s="1"/>
      <c r="AO696" s="1"/>
      <c r="AP696" s="1"/>
    </row>
    <row r="697" spans="17:42" ht="62.25" customHeight="1">
      <c r="Q697" s="1"/>
      <c r="R697" s="1"/>
      <c r="S697" s="1"/>
      <c r="T697" s="1"/>
      <c r="U697" s="1"/>
      <c r="V697" s="1"/>
      <c r="W697" s="1"/>
      <c r="X697" s="1"/>
      <c r="Y697" s="1"/>
      <c r="Z697" s="1"/>
      <c r="AB697" s="1"/>
      <c r="AC697" s="558"/>
      <c r="AD697" s="558"/>
      <c r="AE697" s="1"/>
      <c r="AF697" s="1"/>
      <c r="AG697" s="1"/>
      <c r="AH697" s="559"/>
      <c r="AI697" s="1"/>
      <c r="AJ697" s="1"/>
      <c r="AK697" s="1"/>
      <c r="AL697" s="1"/>
      <c r="AM697" s="1"/>
      <c r="AN697" s="1"/>
      <c r="AO697" s="1"/>
      <c r="AP697" s="1"/>
    </row>
    <row r="698" spans="17:42" ht="62.25" customHeight="1">
      <c r="Q698" s="1"/>
      <c r="R698" s="1"/>
      <c r="S698" s="1"/>
      <c r="T698" s="1"/>
      <c r="U698" s="1"/>
      <c r="V698" s="1"/>
      <c r="W698" s="1"/>
      <c r="X698" s="1"/>
      <c r="Y698" s="1"/>
      <c r="Z698" s="1"/>
      <c r="AB698" s="1"/>
      <c r="AC698" s="558"/>
      <c r="AD698" s="558"/>
      <c r="AE698" s="1"/>
      <c r="AF698" s="1"/>
      <c r="AG698" s="1"/>
      <c r="AH698" s="559"/>
      <c r="AI698" s="1"/>
      <c r="AJ698" s="1"/>
      <c r="AK698" s="1"/>
      <c r="AL698" s="1"/>
      <c r="AM698" s="1"/>
      <c r="AN698" s="1"/>
      <c r="AO698" s="1"/>
      <c r="AP698" s="1"/>
    </row>
    <row r="699" spans="17:42" ht="62.25" customHeight="1">
      <c r="Q699" s="1"/>
      <c r="R699" s="1"/>
      <c r="S699" s="1"/>
      <c r="T699" s="1"/>
      <c r="U699" s="1"/>
      <c r="V699" s="1"/>
      <c r="W699" s="1"/>
      <c r="X699" s="1"/>
      <c r="Y699" s="1"/>
      <c r="Z699" s="1"/>
      <c r="AB699" s="1"/>
      <c r="AC699" s="558"/>
      <c r="AD699" s="558"/>
      <c r="AE699" s="1"/>
      <c r="AF699" s="1"/>
      <c r="AG699" s="1"/>
      <c r="AH699" s="559"/>
      <c r="AI699" s="1"/>
      <c r="AJ699" s="1"/>
      <c r="AK699" s="1"/>
      <c r="AL699" s="1"/>
      <c r="AM699" s="1"/>
      <c r="AN699" s="1"/>
      <c r="AO699" s="1"/>
      <c r="AP699" s="1"/>
    </row>
    <row r="700" spans="17:42" ht="62.25" customHeight="1">
      <c r="Q700" s="1"/>
      <c r="R700" s="1"/>
      <c r="S700" s="1"/>
      <c r="T700" s="1"/>
      <c r="U700" s="1"/>
      <c r="V700" s="1"/>
      <c r="W700" s="1"/>
      <c r="X700" s="1"/>
      <c r="Y700" s="1"/>
      <c r="Z700" s="1"/>
      <c r="AB700" s="1"/>
      <c r="AC700" s="558"/>
      <c r="AD700" s="558"/>
      <c r="AE700" s="1"/>
      <c r="AF700" s="1"/>
      <c r="AG700" s="1"/>
      <c r="AH700" s="559"/>
      <c r="AI700" s="1"/>
      <c r="AJ700" s="1"/>
      <c r="AK700" s="1"/>
      <c r="AL700" s="1"/>
      <c r="AM700" s="1"/>
      <c r="AN700" s="1"/>
      <c r="AO700" s="1"/>
      <c r="AP700" s="1"/>
    </row>
    <row r="701" spans="17:42" ht="62.25" customHeight="1">
      <c r="Q701" s="1"/>
      <c r="R701" s="1"/>
      <c r="S701" s="1"/>
      <c r="T701" s="1"/>
      <c r="U701" s="1"/>
      <c r="V701" s="1"/>
      <c r="W701" s="1"/>
      <c r="X701" s="1"/>
      <c r="Y701" s="1"/>
      <c r="Z701" s="1"/>
      <c r="AB701" s="1"/>
      <c r="AC701" s="558"/>
      <c r="AD701" s="558"/>
      <c r="AE701" s="1"/>
      <c r="AF701" s="1"/>
      <c r="AG701" s="1"/>
      <c r="AH701" s="559"/>
      <c r="AI701" s="1"/>
      <c r="AJ701" s="1"/>
      <c r="AK701" s="1"/>
      <c r="AL701" s="1"/>
      <c r="AM701" s="1"/>
      <c r="AN701" s="1"/>
      <c r="AO701" s="1"/>
      <c r="AP701" s="1"/>
    </row>
    <row r="702" spans="17:42" ht="62.25" customHeight="1">
      <c r="Q702" s="1"/>
      <c r="R702" s="1"/>
      <c r="S702" s="1"/>
      <c r="T702" s="1"/>
      <c r="U702" s="1"/>
      <c r="V702" s="1"/>
      <c r="W702" s="1"/>
      <c r="X702" s="1"/>
      <c r="Y702" s="1"/>
      <c r="Z702" s="1"/>
      <c r="AB702" s="1"/>
      <c r="AC702" s="558"/>
      <c r="AD702" s="558"/>
      <c r="AE702" s="1"/>
      <c r="AF702" s="1"/>
      <c r="AG702" s="1"/>
      <c r="AH702" s="559"/>
      <c r="AI702" s="1"/>
      <c r="AJ702" s="1"/>
      <c r="AK702" s="1"/>
      <c r="AL702" s="1"/>
      <c r="AM702" s="1"/>
      <c r="AN702" s="1"/>
      <c r="AO702" s="1"/>
      <c r="AP702" s="1"/>
    </row>
    <row r="703" spans="17:42" ht="62.25" customHeight="1">
      <c r="Q703" s="1"/>
      <c r="R703" s="1"/>
      <c r="S703" s="1"/>
      <c r="T703" s="1"/>
      <c r="U703" s="1"/>
      <c r="V703" s="1"/>
      <c r="W703" s="1"/>
      <c r="X703" s="1"/>
      <c r="Y703" s="1"/>
      <c r="Z703" s="1"/>
      <c r="AB703" s="1"/>
      <c r="AC703" s="558"/>
      <c r="AD703" s="558"/>
      <c r="AE703" s="1"/>
      <c r="AF703" s="1"/>
      <c r="AG703" s="1"/>
      <c r="AH703" s="559"/>
      <c r="AI703" s="1"/>
      <c r="AJ703" s="1"/>
      <c r="AK703" s="1"/>
      <c r="AL703" s="1"/>
      <c r="AM703" s="1"/>
      <c r="AN703" s="1"/>
      <c r="AO703" s="1"/>
      <c r="AP703" s="1"/>
    </row>
    <row r="704" spans="17:42" ht="62.25" customHeight="1">
      <c r="Q704" s="1"/>
      <c r="R704" s="1"/>
      <c r="S704" s="1"/>
      <c r="T704" s="1"/>
      <c r="U704" s="1"/>
      <c r="V704" s="1"/>
      <c r="W704" s="1"/>
      <c r="X704" s="1"/>
      <c r="Y704" s="1"/>
      <c r="Z704" s="1"/>
      <c r="AB704" s="1"/>
      <c r="AC704" s="558"/>
      <c r="AD704" s="558"/>
      <c r="AE704" s="1"/>
      <c r="AF704" s="1"/>
      <c r="AG704" s="1"/>
      <c r="AH704" s="559"/>
      <c r="AI704" s="1"/>
      <c r="AJ704" s="1"/>
      <c r="AK704" s="1"/>
      <c r="AL704" s="1"/>
      <c r="AM704" s="1"/>
      <c r="AN704" s="1"/>
      <c r="AO704" s="1"/>
      <c r="AP704" s="1"/>
    </row>
    <row r="705" spans="17:42" ht="62.25" customHeight="1">
      <c r="Q705" s="1"/>
      <c r="R705" s="1"/>
      <c r="S705" s="1"/>
      <c r="T705" s="1"/>
      <c r="U705" s="1"/>
      <c r="V705" s="1"/>
      <c r="W705" s="1"/>
      <c r="X705" s="1"/>
      <c r="Y705" s="1"/>
      <c r="Z705" s="1"/>
      <c r="AB705" s="1"/>
      <c r="AC705" s="558"/>
      <c r="AD705" s="558"/>
      <c r="AE705" s="1"/>
      <c r="AF705" s="1"/>
      <c r="AG705" s="1"/>
      <c r="AH705" s="559"/>
      <c r="AI705" s="1"/>
      <c r="AJ705" s="1"/>
      <c r="AK705" s="1"/>
      <c r="AL705" s="1"/>
      <c r="AM705" s="1"/>
      <c r="AN705" s="1"/>
      <c r="AO705" s="1"/>
      <c r="AP705" s="1"/>
    </row>
    <row r="706" spans="17:42" ht="62.25" customHeight="1">
      <c r="Q706" s="1"/>
      <c r="R706" s="1"/>
      <c r="S706" s="1"/>
      <c r="T706" s="1"/>
      <c r="U706" s="1"/>
      <c r="V706" s="1"/>
      <c r="W706" s="1"/>
      <c r="X706" s="1"/>
      <c r="Y706" s="1"/>
      <c r="Z706" s="1"/>
      <c r="AB706" s="1"/>
      <c r="AC706" s="558"/>
      <c r="AD706" s="558"/>
      <c r="AE706" s="1"/>
      <c r="AF706" s="1"/>
      <c r="AG706" s="1"/>
      <c r="AH706" s="559"/>
      <c r="AI706" s="1"/>
      <c r="AJ706" s="1"/>
      <c r="AK706" s="1"/>
      <c r="AL706" s="1"/>
      <c r="AM706" s="1"/>
      <c r="AN706" s="1"/>
      <c r="AO706" s="1"/>
      <c r="AP706" s="1"/>
    </row>
    <row r="707" spans="17:42" ht="62.25" customHeight="1">
      <c r="Q707" s="1"/>
      <c r="R707" s="1"/>
      <c r="S707" s="1"/>
      <c r="T707" s="1"/>
      <c r="U707" s="1"/>
      <c r="V707" s="1"/>
      <c r="W707" s="1"/>
      <c r="X707" s="1"/>
      <c r="Y707" s="1"/>
      <c r="Z707" s="1"/>
      <c r="AB707" s="1"/>
      <c r="AC707" s="558"/>
      <c r="AD707" s="558"/>
      <c r="AE707" s="1"/>
      <c r="AF707" s="1"/>
      <c r="AG707" s="1"/>
      <c r="AH707" s="559"/>
      <c r="AI707" s="1"/>
      <c r="AJ707" s="1"/>
      <c r="AK707" s="1"/>
      <c r="AL707" s="1"/>
      <c r="AM707" s="1"/>
      <c r="AN707" s="1"/>
      <c r="AO707" s="1"/>
      <c r="AP707" s="1"/>
    </row>
    <row r="708" spans="17:42" ht="62.25" customHeight="1">
      <c r="Q708" s="1"/>
      <c r="R708" s="1"/>
      <c r="S708" s="1"/>
      <c r="T708" s="1"/>
      <c r="U708" s="1"/>
      <c r="V708" s="1"/>
      <c r="W708" s="1"/>
      <c r="X708" s="1"/>
      <c r="Y708" s="1"/>
      <c r="Z708" s="1"/>
      <c r="AB708" s="1"/>
      <c r="AC708" s="558"/>
      <c r="AD708" s="558"/>
      <c r="AE708" s="1"/>
      <c r="AF708" s="1"/>
      <c r="AG708" s="1"/>
      <c r="AH708" s="559"/>
      <c r="AI708" s="1"/>
      <c r="AJ708" s="1"/>
      <c r="AK708" s="1"/>
      <c r="AL708" s="1"/>
      <c r="AM708" s="1"/>
      <c r="AN708" s="1"/>
      <c r="AO708" s="1"/>
      <c r="AP708" s="1"/>
    </row>
    <row r="709" spans="17:42" ht="62.25" customHeight="1">
      <c r="Q709" s="1"/>
      <c r="R709" s="1"/>
      <c r="S709" s="1"/>
      <c r="T709" s="1"/>
      <c r="U709" s="1"/>
      <c r="V709" s="1"/>
      <c r="W709" s="1"/>
      <c r="X709" s="1"/>
      <c r="Y709" s="1"/>
      <c r="Z709" s="1"/>
      <c r="AB709" s="1"/>
      <c r="AC709" s="558"/>
      <c r="AD709" s="558"/>
      <c r="AE709" s="1"/>
      <c r="AF709" s="1"/>
      <c r="AG709" s="1"/>
      <c r="AH709" s="559"/>
      <c r="AI709" s="1"/>
      <c r="AJ709" s="1"/>
      <c r="AK709" s="1"/>
      <c r="AL709" s="1"/>
      <c r="AM709" s="1"/>
      <c r="AN709" s="1"/>
      <c r="AO709" s="1"/>
      <c r="AP709" s="1"/>
    </row>
    <row r="710" spans="17:42" ht="62.25" customHeight="1">
      <c r="Q710" s="1"/>
      <c r="R710" s="1"/>
      <c r="S710" s="1"/>
      <c r="T710" s="1"/>
      <c r="U710" s="1"/>
      <c r="V710" s="1"/>
      <c r="W710" s="1"/>
      <c r="X710" s="1"/>
      <c r="Y710" s="1"/>
      <c r="Z710" s="1"/>
      <c r="AB710" s="1"/>
      <c r="AC710" s="558"/>
      <c r="AD710" s="558"/>
      <c r="AE710" s="1"/>
      <c r="AF710" s="1"/>
      <c r="AG710" s="1"/>
      <c r="AH710" s="559"/>
      <c r="AI710" s="1"/>
      <c r="AJ710" s="1"/>
      <c r="AK710" s="1"/>
      <c r="AL710" s="1"/>
      <c r="AM710" s="1"/>
      <c r="AN710" s="1"/>
      <c r="AO710" s="1"/>
      <c r="AP710" s="1"/>
    </row>
    <row r="711" spans="17:42" ht="62.25" customHeight="1">
      <c r="Q711" s="1"/>
      <c r="R711" s="1"/>
      <c r="S711" s="1"/>
      <c r="T711" s="1"/>
      <c r="U711" s="1"/>
      <c r="V711" s="1"/>
      <c r="W711" s="1"/>
      <c r="X711" s="1"/>
      <c r="Y711" s="1"/>
      <c r="Z711" s="1"/>
      <c r="AB711" s="1"/>
      <c r="AC711" s="558"/>
      <c r="AD711" s="558"/>
      <c r="AE711" s="1"/>
      <c r="AF711" s="1"/>
      <c r="AG711" s="1"/>
      <c r="AH711" s="559"/>
      <c r="AI711" s="1"/>
      <c r="AJ711" s="1"/>
      <c r="AK711" s="1"/>
      <c r="AL711" s="1"/>
      <c r="AM711" s="1"/>
      <c r="AN711" s="1"/>
      <c r="AO711" s="1"/>
      <c r="AP711" s="1"/>
    </row>
    <row r="712" spans="17:42" ht="62.25" customHeight="1">
      <c r="Q712" s="1"/>
      <c r="R712" s="1"/>
      <c r="S712" s="1"/>
      <c r="T712" s="1"/>
      <c r="U712" s="1"/>
      <c r="V712" s="1"/>
      <c r="W712" s="1"/>
      <c r="X712" s="1"/>
      <c r="Y712" s="1"/>
      <c r="Z712" s="1"/>
      <c r="AB712" s="1"/>
      <c r="AC712" s="558"/>
      <c r="AD712" s="558"/>
      <c r="AE712" s="1"/>
      <c r="AF712" s="1"/>
      <c r="AG712" s="1"/>
      <c r="AH712" s="559"/>
      <c r="AI712" s="1"/>
      <c r="AJ712" s="1"/>
      <c r="AK712" s="1"/>
      <c r="AL712" s="1"/>
      <c r="AM712" s="1"/>
      <c r="AN712" s="1"/>
      <c r="AO712" s="1"/>
      <c r="AP712" s="1"/>
    </row>
    <row r="713" spans="17:42" ht="62.25" customHeight="1">
      <c r="Q713" s="1"/>
      <c r="R713" s="1"/>
      <c r="S713" s="1"/>
      <c r="T713" s="1"/>
      <c r="U713" s="1"/>
      <c r="V713" s="1"/>
      <c r="W713" s="1"/>
      <c r="X713" s="1"/>
      <c r="Y713" s="1"/>
      <c r="Z713" s="1"/>
      <c r="AB713" s="1"/>
      <c r="AC713" s="558"/>
      <c r="AD713" s="558"/>
      <c r="AE713" s="1"/>
      <c r="AF713" s="1"/>
      <c r="AG713" s="1"/>
      <c r="AH713" s="559"/>
      <c r="AI713" s="1"/>
      <c r="AJ713" s="1"/>
      <c r="AK713" s="1"/>
      <c r="AL713" s="1"/>
      <c r="AM713" s="1"/>
      <c r="AN713" s="1"/>
      <c r="AO713" s="1"/>
      <c r="AP713" s="1"/>
    </row>
    <row r="714" spans="17:42" ht="62.25" customHeight="1">
      <c r="Q714" s="1"/>
      <c r="R714" s="1"/>
      <c r="S714" s="1"/>
      <c r="T714" s="1"/>
      <c r="U714" s="1"/>
      <c r="V714" s="1"/>
      <c r="W714" s="1"/>
      <c r="X714" s="1"/>
      <c r="Y714" s="1"/>
      <c r="Z714" s="1"/>
      <c r="AB714" s="1"/>
      <c r="AC714" s="558"/>
      <c r="AD714" s="558"/>
      <c r="AE714" s="1"/>
      <c r="AF714" s="1"/>
      <c r="AG714" s="1"/>
      <c r="AH714" s="559"/>
      <c r="AI714" s="1"/>
      <c r="AJ714" s="1"/>
      <c r="AK714" s="1"/>
      <c r="AL714" s="1"/>
      <c r="AM714" s="1"/>
      <c r="AN714" s="1"/>
      <c r="AO714" s="1"/>
      <c r="AP714" s="1"/>
    </row>
    <row r="715" spans="17:42" ht="62.25" customHeight="1">
      <c r="Q715" s="1"/>
      <c r="R715" s="1"/>
      <c r="S715" s="1"/>
      <c r="T715" s="1"/>
      <c r="U715" s="1"/>
      <c r="V715" s="1"/>
      <c r="W715" s="1"/>
      <c r="X715" s="1"/>
      <c r="Y715" s="1"/>
      <c r="Z715" s="1"/>
      <c r="AB715" s="1"/>
      <c r="AC715" s="558"/>
      <c r="AD715" s="558"/>
      <c r="AE715" s="1"/>
      <c r="AF715" s="1"/>
      <c r="AG715" s="1"/>
      <c r="AH715" s="559"/>
      <c r="AI715" s="1"/>
      <c r="AJ715" s="1"/>
      <c r="AK715" s="1"/>
      <c r="AL715" s="1"/>
      <c r="AM715" s="1"/>
      <c r="AN715" s="1"/>
      <c r="AO715" s="1"/>
      <c r="AP715" s="1"/>
    </row>
    <row r="716" spans="17:42" ht="62.25" customHeight="1">
      <c r="Q716" s="1"/>
      <c r="R716" s="1"/>
      <c r="S716" s="1"/>
      <c r="T716" s="1"/>
      <c r="U716" s="1"/>
      <c r="V716" s="1"/>
      <c r="W716" s="1"/>
      <c r="X716" s="1"/>
      <c r="Y716" s="1"/>
      <c r="Z716" s="1"/>
      <c r="AB716" s="1"/>
      <c r="AC716" s="558"/>
      <c r="AD716" s="558"/>
      <c r="AE716" s="1"/>
      <c r="AF716" s="1"/>
      <c r="AG716" s="1"/>
      <c r="AH716" s="559"/>
      <c r="AI716" s="1"/>
      <c r="AJ716" s="1"/>
      <c r="AK716" s="1"/>
      <c r="AL716" s="1"/>
      <c r="AM716" s="1"/>
      <c r="AN716" s="1"/>
      <c r="AO716" s="1"/>
      <c r="AP716" s="1"/>
    </row>
    <row r="717" spans="17:42" ht="62.25" customHeight="1">
      <c r="Q717" s="1"/>
      <c r="R717" s="1"/>
      <c r="S717" s="1"/>
      <c r="T717" s="1"/>
      <c r="U717" s="1"/>
      <c r="V717" s="1"/>
      <c r="W717" s="1"/>
      <c r="X717" s="1"/>
      <c r="Y717" s="1"/>
      <c r="Z717" s="1"/>
      <c r="AB717" s="1"/>
      <c r="AC717" s="558"/>
      <c r="AD717" s="558"/>
      <c r="AE717" s="1"/>
      <c r="AF717" s="1"/>
      <c r="AG717" s="1"/>
      <c r="AH717" s="559"/>
      <c r="AI717" s="1"/>
      <c r="AJ717" s="1"/>
      <c r="AK717" s="1"/>
      <c r="AL717" s="1"/>
      <c r="AM717" s="1"/>
      <c r="AN717" s="1"/>
      <c r="AO717" s="1"/>
      <c r="AP717" s="1"/>
    </row>
    <row r="718" spans="17:42" ht="62.25" customHeight="1">
      <c r="Q718" s="1"/>
      <c r="R718" s="1"/>
      <c r="S718" s="1"/>
      <c r="T718" s="1"/>
      <c r="U718" s="1"/>
      <c r="V718" s="1"/>
      <c r="W718" s="1"/>
      <c r="X718" s="1"/>
      <c r="Y718" s="1"/>
      <c r="Z718" s="1"/>
      <c r="AB718" s="1"/>
      <c r="AC718" s="558"/>
      <c r="AD718" s="558"/>
      <c r="AE718" s="1"/>
      <c r="AF718" s="1"/>
      <c r="AG718" s="1"/>
      <c r="AH718" s="559"/>
      <c r="AI718" s="1"/>
      <c r="AJ718" s="1"/>
      <c r="AK718" s="1"/>
      <c r="AL718" s="1"/>
      <c r="AM718" s="1"/>
      <c r="AN718" s="1"/>
      <c r="AO718" s="1"/>
      <c r="AP718" s="1"/>
    </row>
    <row r="719" spans="17:42" ht="62.25" customHeight="1">
      <c r="Q719" s="1"/>
      <c r="R719" s="1"/>
      <c r="S719" s="1"/>
      <c r="T719" s="1"/>
      <c r="U719" s="1"/>
      <c r="V719" s="1"/>
      <c r="W719" s="1"/>
      <c r="X719" s="1"/>
      <c r="Y719" s="1"/>
      <c r="Z719" s="1"/>
      <c r="AB719" s="1"/>
      <c r="AC719" s="558"/>
      <c r="AD719" s="558"/>
      <c r="AE719" s="1"/>
      <c r="AF719" s="1"/>
      <c r="AG719" s="1"/>
      <c r="AH719" s="559"/>
      <c r="AI719" s="1"/>
      <c r="AJ719" s="1"/>
      <c r="AK719" s="1"/>
      <c r="AL719" s="1"/>
      <c r="AM719" s="1"/>
      <c r="AN719" s="1"/>
      <c r="AO719" s="1"/>
      <c r="AP719" s="1"/>
    </row>
    <row r="720" spans="17:42" ht="62.25" customHeight="1">
      <c r="Q720" s="1"/>
      <c r="R720" s="1"/>
      <c r="S720" s="1"/>
      <c r="T720" s="1"/>
      <c r="U720" s="1"/>
      <c r="V720" s="1"/>
      <c r="W720" s="1"/>
      <c r="X720" s="1"/>
      <c r="Y720" s="1"/>
      <c r="Z720" s="1"/>
      <c r="AB720" s="1"/>
      <c r="AC720" s="558"/>
      <c r="AD720" s="558"/>
      <c r="AE720" s="1"/>
      <c r="AF720" s="1"/>
      <c r="AG720" s="1"/>
      <c r="AH720" s="559"/>
      <c r="AI720" s="1"/>
      <c r="AJ720" s="1"/>
      <c r="AK720" s="1"/>
      <c r="AL720" s="1"/>
      <c r="AM720" s="1"/>
      <c r="AN720" s="1"/>
      <c r="AO720" s="1"/>
      <c r="AP720" s="1"/>
    </row>
    <row r="721" spans="17:42" ht="62.25" customHeight="1">
      <c r="Q721" s="1"/>
      <c r="R721" s="1"/>
      <c r="S721" s="1"/>
      <c r="T721" s="1"/>
      <c r="U721" s="1"/>
      <c r="V721" s="1"/>
      <c r="W721" s="1"/>
      <c r="X721" s="1"/>
      <c r="Y721" s="1"/>
      <c r="Z721" s="1"/>
      <c r="AB721" s="1"/>
      <c r="AC721" s="558"/>
      <c r="AD721" s="558"/>
      <c r="AE721" s="1"/>
      <c r="AF721" s="1"/>
      <c r="AG721" s="1"/>
      <c r="AH721" s="559"/>
      <c r="AI721" s="1"/>
      <c r="AJ721" s="1"/>
      <c r="AK721" s="1"/>
      <c r="AL721" s="1"/>
      <c r="AM721" s="1"/>
      <c r="AN721" s="1"/>
      <c r="AO721" s="1"/>
      <c r="AP721" s="1"/>
    </row>
    <row r="722" spans="17:42" ht="62.25" customHeight="1">
      <c r="Q722" s="1"/>
      <c r="R722" s="1"/>
      <c r="S722" s="1"/>
      <c r="T722" s="1"/>
      <c r="U722" s="1"/>
      <c r="V722" s="1"/>
      <c r="W722" s="1"/>
      <c r="X722" s="1"/>
      <c r="Y722" s="1"/>
      <c r="Z722" s="1"/>
      <c r="AB722" s="1"/>
      <c r="AC722" s="558"/>
      <c r="AD722" s="558"/>
      <c r="AE722" s="1"/>
      <c r="AF722" s="1"/>
      <c r="AG722" s="1"/>
      <c r="AH722" s="559"/>
      <c r="AI722" s="1"/>
      <c r="AJ722" s="1"/>
      <c r="AK722" s="1"/>
      <c r="AL722" s="1"/>
      <c r="AM722" s="1"/>
      <c r="AN722" s="1"/>
      <c r="AO722" s="1"/>
      <c r="AP722" s="1"/>
    </row>
    <row r="723" spans="17:42" ht="62.25" customHeight="1">
      <c r="Q723" s="1"/>
      <c r="R723" s="1"/>
      <c r="S723" s="1"/>
      <c r="T723" s="1"/>
      <c r="U723" s="1"/>
      <c r="V723" s="1"/>
      <c r="W723" s="1"/>
      <c r="X723" s="1"/>
      <c r="Y723" s="1"/>
      <c r="Z723" s="1"/>
      <c r="AB723" s="1"/>
      <c r="AC723" s="558"/>
      <c r="AD723" s="558"/>
      <c r="AE723" s="1"/>
      <c r="AF723" s="1"/>
      <c r="AG723" s="1"/>
      <c r="AH723" s="559"/>
      <c r="AI723" s="1"/>
      <c r="AJ723" s="1"/>
      <c r="AK723" s="1"/>
      <c r="AL723" s="1"/>
      <c r="AM723" s="1"/>
      <c r="AN723" s="1"/>
      <c r="AO723" s="1"/>
      <c r="AP723" s="1"/>
    </row>
    <row r="724" spans="17:42" ht="62.25" customHeight="1">
      <c r="Q724" s="1"/>
      <c r="R724" s="1"/>
      <c r="S724" s="1"/>
      <c r="T724" s="1"/>
      <c r="U724" s="1"/>
      <c r="V724" s="1"/>
      <c r="W724" s="1"/>
      <c r="X724" s="1"/>
      <c r="Y724" s="1"/>
      <c r="Z724" s="1"/>
      <c r="AB724" s="1"/>
      <c r="AC724" s="558"/>
      <c r="AD724" s="558"/>
      <c r="AE724" s="1"/>
      <c r="AF724" s="1"/>
      <c r="AG724" s="1"/>
      <c r="AH724" s="559"/>
      <c r="AI724" s="1"/>
      <c r="AJ724" s="1"/>
      <c r="AK724" s="1"/>
      <c r="AL724" s="1"/>
      <c r="AM724" s="1"/>
      <c r="AN724" s="1"/>
      <c r="AO724" s="1"/>
      <c r="AP724" s="1"/>
    </row>
    <row r="725" spans="17:42" ht="62.25" customHeight="1">
      <c r="Q725" s="1"/>
      <c r="R725" s="1"/>
      <c r="S725" s="1"/>
      <c r="T725" s="1"/>
      <c r="U725" s="1"/>
      <c r="V725" s="1"/>
      <c r="W725" s="1"/>
      <c r="X725" s="1"/>
      <c r="Y725" s="1"/>
      <c r="Z725" s="1"/>
      <c r="AB725" s="1"/>
      <c r="AC725" s="558"/>
      <c r="AD725" s="558"/>
      <c r="AE725" s="1"/>
      <c r="AF725" s="1"/>
      <c r="AG725" s="1"/>
      <c r="AH725" s="559"/>
      <c r="AI725" s="1"/>
      <c r="AJ725" s="1"/>
      <c r="AK725" s="1"/>
      <c r="AL725" s="1"/>
      <c r="AM725" s="1"/>
      <c r="AN725" s="1"/>
      <c r="AO725" s="1"/>
      <c r="AP725" s="1"/>
    </row>
    <row r="726" spans="17:42" ht="62.25" customHeight="1">
      <c r="Q726" s="1"/>
      <c r="R726" s="1"/>
      <c r="S726" s="1"/>
      <c r="T726" s="1"/>
      <c r="U726" s="1"/>
      <c r="V726" s="1"/>
      <c r="W726" s="1"/>
      <c r="X726" s="1"/>
      <c r="Y726" s="1"/>
      <c r="Z726" s="1"/>
      <c r="AB726" s="1"/>
      <c r="AC726" s="558"/>
      <c r="AD726" s="558"/>
      <c r="AE726" s="1"/>
      <c r="AF726" s="1"/>
      <c r="AG726" s="1"/>
      <c r="AH726" s="559"/>
      <c r="AI726" s="1"/>
      <c r="AJ726" s="1"/>
      <c r="AK726" s="1"/>
      <c r="AL726" s="1"/>
      <c r="AM726" s="1"/>
      <c r="AN726" s="1"/>
      <c r="AO726" s="1"/>
      <c r="AP726" s="1"/>
    </row>
    <row r="727" spans="17:42" ht="62.25" customHeight="1">
      <c r="Q727" s="1"/>
      <c r="R727" s="1"/>
      <c r="S727" s="1"/>
      <c r="T727" s="1"/>
      <c r="U727" s="1"/>
      <c r="V727" s="1"/>
      <c r="W727" s="1"/>
      <c r="X727" s="1"/>
      <c r="Y727" s="1"/>
      <c r="Z727" s="1"/>
      <c r="AB727" s="1"/>
      <c r="AC727" s="558"/>
      <c r="AD727" s="558"/>
      <c r="AE727" s="1"/>
      <c r="AF727" s="1"/>
      <c r="AG727" s="1"/>
      <c r="AH727" s="559"/>
      <c r="AI727" s="1"/>
      <c r="AJ727" s="1"/>
      <c r="AK727" s="1"/>
      <c r="AL727" s="1"/>
      <c r="AM727" s="1"/>
      <c r="AN727" s="1"/>
      <c r="AO727" s="1"/>
      <c r="AP727" s="1"/>
    </row>
    <row r="728" spans="17:42" ht="62.25" customHeight="1">
      <c r="Q728" s="1"/>
      <c r="R728" s="1"/>
      <c r="S728" s="1"/>
      <c r="T728" s="1"/>
      <c r="U728" s="1"/>
      <c r="V728" s="1"/>
      <c r="W728" s="1"/>
      <c r="X728" s="1"/>
      <c r="Y728" s="1"/>
      <c r="Z728" s="1"/>
      <c r="AB728" s="1"/>
      <c r="AC728" s="558"/>
      <c r="AD728" s="558"/>
      <c r="AE728" s="1"/>
      <c r="AF728" s="1"/>
      <c r="AG728" s="1"/>
      <c r="AH728" s="559"/>
      <c r="AI728" s="1"/>
      <c r="AJ728" s="1"/>
      <c r="AK728" s="1"/>
      <c r="AL728" s="1"/>
      <c r="AM728" s="1"/>
      <c r="AN728" s="1"/>
      <c r="AO728" s="1"/>
      <c r="AP728" s="1"/>
    </row>
    <row r="729" spans="17:42" ht="62.25" customHeight="1">
      <c r="Q729" s="1"/>
      <c r="R729" s="1"/>
      <c r="S729" s="1"/>
      <c r="T729" s="1"/>
      <c r="U729" s="1"/>
      <c r="V729" s="1"/>
      <c r="W729" s="1"/>
      <c r="X729" s="1"/>
      <c r="Y729" s="1"/>
      <c r="Z729" s="1"/>
      <c r="AB729" s="1"/>
      <c r="AC729" s="558"/>
      <c r="AD729" s="558"/>
      <c r="AE729" s="1"/>
      <c r="AF729" s="1"/>
      <c r="AG729" s="1"/>
      <c r="AH729" s="559"/>
      <c r="AI729" s="1"/>
      <c r="AJ729" s="1"/>
      <c r="AK729" s="1"/>
      <c r="AL729" s="1"/>
      <c r="AM729" s="1"/>
      <c r="AN729" s="1"/>
      <c r="AO729" s="1"/>
      <c r="AP729" s="1"/>
    </row>
    <row r="730" spans="17:42" ht="62.25" customHeight="1">
      <c r="Q730" s="1"/>
      <c r="R730" s="1"/>
      <c r="S730" s="1"/>
      <c r="T730" s="1"/>
      <c r="U730" s="1"/>
      <c r="V730" s="1"/>
      <c r="W730" s="1"/>
      <c r="X730" s="1"/>
      <c r="Y730" s="1"/>
      <c r="Z730" s="1"/>
      <c r="AB730" s="1"/>
      <c r="AC730" s="558"/>
      <c r="AD730" s="558"/>
      <c r="AE730" s="1"/>
      <c r="AF730" s="1"/>
      <c r="AG730" s="1"/>
      <c r="AH730" s="559"/>
      <c r="AI730" s="1"/>
      <c r="AJ730" s="1"/>
      <c r="AK730" s="1"/>
      <c r="AL730" s="1"/>
      <c r="AM730" s="1"/>
      <c r="AN730" s="1"/>
      <c r="AO730" s="1"/>
      <c r="AP730" s="1"/>
    </row>
    <row r="731" spans="17:42" ht="62.25" customHeight="1">
      <c r="Q731" s="1"/>
      <c r="R731" s="1"/>
      <c r="S731" s="1"/>
      <c r="T731" s="1"/>
      <c r="U731" s="1"/>
      <c r="V731" s="1"/>
      <c r="W731" s="1"/>
      <c r="X731" s="1"/>
      <c r="Y731" s="1"/>
      <c r="Z731" s="1"/>
      <c r="AB731" s="1"/>
      <c r="AC731" s="558"/>
      <c r="AD731" s="558"/>
      <c r="AE731" s="1"/>
      <c r="AF731" s="1"/>
      <c r="AG731" s="1"/>
      <c r="AH731" s="559"/>
      <c r="AI731" s="1"/>
      <c r="AJ731" s="1"/>
      <c r="AK731" s="1"/>
      <c r="AL731" s="1"/>
      <c r="AM731" s="1"/>
      <c r="AN731" s="1"/>
      <c r="AO731" s="1"/>
      <c r="AP731" s="1"/>
    </row>
    <row r="732" spans="17:42" ht="62.25" customHeight="1">
      <c r="Q732" s="1"/>
      <c r="R732" s="1"/>
      <c r="S732" s="1"/>
      <c r="T732" s="1"/>
      <c r="U732" s="1"/>
      <c r="V732" s="1"/>
      <c r="W732" s="1"/>
      <c r="X732" s="1"/>
      <c r="Y732" s="1"/>
      <c r="Z732" s="1"/>
      <c r="AB732" s="1"/>
      <c r="AC732" s="558"/>
      <c r="AD732" s="558"/>
      <c r="AE732" s="1"/>
      <c r="AF732" s="1"/>
      <c r="AG732" s="1"/>
      <c r="AH732" s="559"/>
      <c r="AI732" s="1"/>
      <c r="AJ732" s="1"/>
      <c r="AK732" s="1"/>
      <c r="AL732" s="1"/>
      <c r="AM732" s="1"/>
      <c r="AN732" s="1"/>
      <c r="AO732" s="1"/>
      <c r="AP732" s="1"/>
    </row>
    <row r="733" spans="17:42" ht="62.25" customHeight="1">
      <c r="Q733" s="1"/>
      <c r="R733" s="1"/>
      <c r="S733" s="1"/>
      <c r="T733" s="1"/>
      <c r="U733" s="1"/>
      <c r="V733" s="1"/>
      <c r="W733" s="1"/>
      <c r="X733" s="1"/>
      <c r="Y733" s="1"/>
      <c r="Z733" s="1"/>
      <c r="AB733" s="1"/>
      <c r="AC733" s="558"/>
      <c r="AD733" s="558"/>
      <c r="AE733" s="1"/>
      <c r="AF733" s="1"/>
      <c r="AG733" s="1"/>
      <c r="AH733" s="559"/>
      <c r="AI733" s="1"/>
      <c r="AJ733" s="1"/>
      <c r="AK733" s="1"/>
      <c r="AL733" s="1"/>
      <c r="AM733" s="1"/>
      <c r="AN733" s="1"/>
      <c r="AO733" s="1"/>
      <c r="AP733" s="1"/>
    </row>
    <row r="734" spans="17:42" ht="62.25" customHeight="1">
      <c r="Q734" s="1"/>
      <c r="R734" s="1"/>
      <c r="S734" s="1"/>
      <c r="T734" s="1"/>
      <c r="U734" s="1"/>
      <c r="V734" s="1"/>
      <c r="W734" s="1"/>
      <c r="X734" s="1"/>
      <c r="Y734" s="1"/>
      <c r="Z734" s="1"/>
      <c r="AB734" s="1"/>
      <c r="AC734" s="558"/>
      <c r="AD734" s="558"/>
      <c r="AE734" s="1"/>
      <c r="AF734" s="1"/>
      <c r="AG734" s="1"/>
      <c r="AH734" s="559"/>
      <c r="AI734" s="1"/>
      <c r="AJ734" s="1"/>
      <c r="AK734" s="1"/>
      <c r="AL734" s="1"/>
      <c r="AM734" s="1"/>
      <c r="AN734" s="1"/>
      <c r="AO734" s="1"/>
      <c r="AP734" s="1"/>
    </row>
    <row r="735" spans="17:42" ht="62.25" customHeight="1">
      <c r="Q735" s="1"/>
      <c r="R735" s="1"/>
      <c r="S735" s="1"/>
      <c r="T735" s="1"/>
      <c r="U735" s="1"/>
      <c r="V735" s="1"/>
      <c r="W735" s="1"/>
      <c r="X735" s="1"/>
      <c r="Y735" s="1"/>
      <c r="Z735" s="1"/>
      <c r="AB735" s="1"/>
      <c r="AC735" s="558"/>
      <c r="AD735" s="558"/>
      <c r="AE735" s="1"/>
      <c r="AF735" s="1"/>
      <c r="AG735" s="1"/>
      <c r="AH735" s="559"/>
      <c r="AI735" s="1"/>
      <c r="AJ735" s="1"/>
      <c r="AK735" s="1"/>
      <c r="AL735" s="1"/>
      <c r="AM735" s="1"/>
      <c r="AN735" s="1"/>
      <c r="AO735" s="1"/>
      <c r="AP735" s="1"/>
    </row>
    <row r="736" spans="17:42" ht="62.25" customHeight="1">
      <c r="Q736" s="1"/>
      <c r="R736" s="1"/>
      <c r="S736" s="1"/>
      <c r="T736" s="1"/>
      <c r="U736" s="1"/>
      <c r="V736" s="1"/>
      <c r="W736" s="1"/>
      <c r="X736" s="1"/>
      <c r="Y736" s="1"/>
      <c r="Z736" s="1"/>
      <c r="AB736" s="1"/>
      <c r="AC736" s="558"/>
      <c r="AD736" s="558"/>
      <c r="AE736" s="1"/>
      <c r="AF736" s="1"/>
      <c r="AG736" s="1"/>
      <c r="AH736" s="559"/>
      <c r="AI736" s="1"/>
      <c r="AJ736" s="1"/>
      <c r="AK736" s="1"/>
      <c r="AL736" s="1"/>
      <c r="AM736" s="1"/>
      <c r="AN736" s="1"/>
      <c r="AO736" s="1"/>
      <c r="AP736" s="1"/>
    </row>
    <row r="737" spans="17:42" ht="62.25" customHeight="1">
      <c r="Q737" s="1"/>
      <c r="R737" s="1"/>
      <c r="S737" s="1"/>
      <c r="T737" s="1"/>
      <c r="U737" s="1"/>
      <c r="V737" s="1"/>
      <c r="W737" s="1"/>
      <c r="X737" s="1"/>
      <c r="Y737" s="1"/>
      <c r="Z737" s="1"/>
      <c r="AB737" s="1"/>
      <c r="AC737" s="558"/>
      <c r="AD737" s="558"/>
      <c r="AE737" s="1"/>
      <c r="AF737" s="1"/>
      <c r="AG737" s="1"/>
      <c r="AH737" s="559"/>
      <c r="AI737" s="1"/>
      <c r="AJ737" s="1"/>
      <c r="AK737" s="1"/>
      <c r="AL737" s="1"/>
      <c r="AM737" s="1"/>
      <c r="AN737" s="1"/>
      <c r="AO737" s="1"/>
      <c r="AP737" s="1"/>
    </row>
    <row r="738" spans="17:42" ht="62.25" customHeight="1">
      <c r="Q738" s="1"/>
      <c r="R738" s="1"/>
      <c r="S738" s="1"/>
      <c r="T738" s="1"/>
      <c r="U738" s="1"/>
      <c r="V738" s="1"/>
      <c r="W738" s="1"/>
      <c r="X738" s="1"/>
      <c r="Y738" s="1"/>
      <c r="Z738" s="1"/>
      <c r="AB738" s="1"/>
      <c r="AC738" s="558"/>
      <c r="AD738" s="558"/>
      <c r="AE738" s="1"/>
      <c r="AF738" s="1"/>
      <c r="AG738" s="1"/>
      <c r="AH738" s="559"/>
      <c r="AI738" s="1"/>
      <c r="AJ738" s="1"/>
      <c r="AK738" s="1"/>
      <c r="AL738" s="1"/>
      <c r="AM738" s="1"/>
      <c r="AN738" s="1"/>
      <c r="AO738" s="1"/>
      <c r="AP738" s="1"/>
    </row>
    <row r="739" spans="17:42" ht="62.25" customHeight="1">
      <c r="Q739" s="1"/>
      <c r="R739" s="1"/>
      <c r="S739" s="1"/>
      <c r="T739" s="1"/>
      <c r="U739" s="1"/>
      <c r="V739" s="1"/>
      <c r="W739" s="1"/>
      <c r="X739" s="1"/>
      <c r="Y739" s="1"/>
      <c r="Z739" s="1"/>
      <c r="AB739" s="1"/>
      <c r="AC739" s="558"/>
      <c r="AD739" s="558"/>
      <c r="AE739" s="1"/>
      <c r="AF739" s="1"/>
      <c r="AG739" s="1"/>
      <c r="AH739" s="559"/>
      <c r="AI739" s="1"/>
      <c r="AJ739" s="1"/>
      <c r="AK739" s="1"/>
      <c r="AL739" s="1"/>
      <c r="AM739" s="1"/>
      <c r="AN739" s="1"/>
      <c r="AO739" s="1"/>
      <c r="AP739" s="1"/>
    </row>
    <row r="740" spans="17:42" ht="62.25" customHeight="1">
      <c r="Q740" s="1"/>
      <c r="R740" s="1"/>
      <c r="S740" s="1"/>
      <c r="T740" s="1"/>
      <c r="U740" s="1"/>
      <c r="V740" s="1"/>
      <c r="W740" s="1"/>
      <c r="X740" s="1"/>
      <c r="Y740" s="1"/>
      <c r="Z740" s="1"/>
      <c r="AB740" s="1"/>
      <c r="AC740" s="558"/>
      <c r="AD740" s="558"/>
      <c r="AE740" s="1"/>
      <c r="AF740" s="1"/>
      <c r="AG740" s="1"/>
      <c r="AH740" s="559"/>
      <c r="AI740" s="1"/>
      <c r="AJ740" s="1"/>
      <c r="AK740" s="1"/>
      <c r="AL740" s="1"/>
      <c r="AM740" s="1"/>
      <c r="AN740" s="1"/>
      <c r="AO740" s="1"/>
      <c r="AP740" s="1"/>
    </row>
    <row r="741" spans="17:42" ht="62.25" customHeight="1">
      <c r="Q741" s="1"/>
      <c r="R741" s="1"/>
      <c r="S741" s="1"/>
      <c r="T741" s="1"/>
      <c r="U741" s="1"/>
      <c r="V741" s="1"/>
      <c r="W741" s="1"/>
      <c r="X741" s="1"/>
      <c r="Y741" s="1"/>
      <c r="Z741" s="1"/>
      <c r="AB741" s="1"/>
      <c r="AC741" s="558"/>
      <c r="AD741" s="558"/>
      <c r="AE741" s="1"/>
      <c r="AF741" s="1"/>
      <c r="AG741" s="1"/>
      <c r="AH741" s="559"/>
      <c r="AI741" s="1"/>
      <c r="AJ741" s="1"/>
      <c r="AK741" s="1"/>
      <c r="AL741" s="1"/>
      <c r="AM741" s="1"/>
      <c r="AN741" s="1"/>
      <c r="AO741" s="1"/>
      <c r="AP741" s="1"/>
    </row>
    <row r="742" spans="17:42" ht="62.25" customHeight="1">
      <c r="Q742" s="1"/>
      <c r="R742" s="1"/>
      <c r="S742" s="1"/>
      <c r="T742" s="1"/>
      <c r="U742" s="1"/>
      <c r="V742" s="1"/>
      <c r="W742" s="1"/>
      <c r="X742" s="1"/>
      <c r="Y742" s="1"/>
      <c r="Z742" s="1"/>
      <c r="AB742" s="1"/>
      <c r="AC742" s="558"/>
      <c r="AD742" s="558"/>
      <c r="AE742" s="1"/>
      <c r="AF742" s="1"/>
      <c r="AG742" s="1"/>
      <c r="AH742" s="559"/>
      <c r="AI742" s="1"/>
      <c r="AJ742" s="1"/>
      <c r="AK742" s="1"/>
      <c r="AL742" s="1"/>
      <c r="AM742" s="1"/>
      <c r="AN742" s="1"/>
      <c r="AO742" s="1"/>
      <c r="AP742" s="1"/>
    </row>
    <row r="743" spans="17:42" ht="62.25" customHeight="1">
      <c r="Q743" s="1"/>
      <c r="R743" s="1"/>
      <c r="S743" s="1"/>
      <c r="T743" s="1"/>
      <c r="U743" s="1"/>
      <c r="V743" s="1"/>
      <c r="W743" s="1"/>
      <c r="X743" s="1"/>
      <c r="Y743" s="1"/>
      <c r="Z743" s="1"/>
      <c r="AB743" s="1"/>
      <c r="AC743" s="558"/>
      <c r="AD743" s="558"/>
      <c r="AE743" s="1"/>
      <c r="AF743" s="1"/>
      <c r="AG743" s="1"/>
      <c r="AH743" s="559"/>
      <c r="AI743" s="1"/>
      <c r="AJ743" s="1"/>
      <c r="AK743" s="1"/>
      <c r="AL743" s="1"/>
      <c r="AM743" s="1"/>
      <c r="AN743" s="1"/>
      <c r="AO743" s="1"/>
      <c r="AP743" s="1"/>
    </row>
    <row r="744" spans="17:42" ht="62.25" customHeight="1">
      <c r="Q744" s="1"/>
      <c r="R744" s="1"/>
      <c r="S744" s="1"/>
      <c r="T744" s="1"/>
      <c r="U744" s="1"/>
      <c r="V744" s="1"/>
      <c r="W744" s="1"/>
      <c r="X744" s="1"/>
      <c r="Y744" s="1"/>
      <c r="Z744" s="1"/>
      <c r="AB744" s="1"/>
      <c r="AC744" s="558"/>
      <c r="AD744" s="558"/>
      <c r="AE744" s="1"/>
      <c r="AF744" s="1"/>
      <c r="AG744" s="1"/>
      <c r="AH744" s="559"/>
      <c r="AI744" s="1"/>
      <c r="AJ744" s="1"/>
      <c r="AK744" s="1"/>
      <c r="AL744" s="1"/>
      <c r="AM744" s="1"/>
      <c r="AN744" s="1"/>
      <c r="AO744" s="1"/>
      <c r="AP744" s="1"/>
    </row>
    <row r="745" spans="17:42" ht="62.25" customHeight="1">
      <c r="Q745" s="1"/>
      <c r="R745" s="1"/>
      <c r="S745" s="1"/>
      <c r="T745" s="1"/>
      <c r="U745" s="1"/>
      <c r="V745" s="1"/>
      <c r="W745" s="1"/>
      <c r="X745" s="1"/>
      <c r="Y745" s="1"/>
      <c r="Z745" s="1"/>
      <c r="AB745" s="1"/>
      <c r="AC745" s="558"/>
      <c r="AD745" s="558"/>
      <c r="AE745" s="1"/>
      <c r="AF745" s="1"/>
      <c r="AG745" s="1"/>
      <c r="AH745" s="559"/>
      <c r="AI745" s="1"/>
      <c r="AJ745" s="1"/>
      <c r="AK745" s="1"/>
      <c r="AL745" s="1"/>
      <c r="AM745" s="1"/>
      <c r="AN745" s="1"/>
      <c r="AO745" s="1"/>
      <c r="AP745" s="1"/>
    </row>
    <row r="746" spans="17:42" ht="62.25" customHeight="1">
      <c r="Q746" s="1"/>
      <c r="R746" s="1"/>
      <c r="S746" s="1"/>
      <c r="T746" s="1"/>
      <c r="U746" s="1"/>
      <c r="V746" s="1"/>
      <c r="W746" s="1"/>
      <c r="X746" s="1"/>
      <c r="Y746" s="1"/>
      <c r="Z746" s="1"/>
      <c r="AB746" s="1"/>
      <c r="AC746" s="558"/>
      <c r="AD746" s="558"/>
      <c r="AE746" s="1"/>
      <c r="AF746" s="1"/>
      <c r="AG746" s="1"/>
      <c r="AH746" s="559"/>
      <c r="AI746" s="1"/>
      <c r="AJ746" s="1"/>
      <c r="AK746" s="1"/>
      <c r="AL746" s="1"/>
      <c r="AM746" s="1"/>
      <c r="AN746" s="1"/>
      <c r="AO746" s="1"/>
      <c r="AP746" s="1"/>
    </row>
    <row r="747" spans="17:42" ht="62.25" customHeight="1">
      <c r="Q747" s="1"/>
      <c r="R747" s="1"/>
      <c r="S747" s="1"/>
      <c r="T747" s="1"/>
      <c r="U747" s="1"/>
      <c r="V747" s="1"/>
      <c r="W747" s="1"/>
      <c r="X747" s="1"/>
      <c r="Y747" s="1"/>
      <c r="Z747" s="1"/>
      <c r="AB747" s="1"/>
      <c r="AC747" s="558"/>
      <c r="AD747" s="558"/>
      <c r="AE747" s="1"/>
      <c r="AF747" s="1"/>
      <c r="AG747" s="1"/>
      <c r="AH747" s="559"/>
      <c r="AI747" s="1"/>
      <c r="AJ747" s="1"/>
      <c r="AK747" s="1"/>
      <c r="AL747" s="1"/>
      <c r="AM747" s="1"/>
      <c r="AN747" s="1"/>
      <c r="AO747" s="1"/>
      <c r="AP747" s="1"/>
    </row>
    <row r="748" spans="17:42" ht="62.25" customHeight="1">
      <c r="Q748" s="1"/>
      <c r="R748" s="1"/>
      <c r="S748" s="1"/>
      <c r="T748" s="1"/>
      <c r="U748" s="1"/>
      <c r="V748" s="1"/>
      <c r="W748" s="1"/>
      <c r="X748" s="1"/>
      <c r="Y748" s="1"/>
      <c r="Z748" s="1"/>
      <c r="AB748" s="1"/>
      <c r="AC748" s="558"/>
      <c r="AD748" s="558"/>
      <c r="AE748" s="1"/>
      <c r="AF748" s="1"/>
      <c r="AG748" s="1"/>
      <c r="AH748" s="559"/>
      <c r="AI748" s="1"/>
      <c r="AJ748" s="1"/>
      <c r="AK748" s="1"/>
      <c r="AL748" s="1"/>
      <c r="AM748" s="1"/>
      <c r="AN748" s="1"/>
      <c r="AO748" s="1"/>
      <c r="AP748" s="1"/>
    </row>
    <row r="749" spans="17:42" ht="62.25" customHeight="1">
      <c r="Q749" s="1"/>
      <c r="R749" s="1"/>
      <c r="S749" s="1"/>
      <c r="T749" s="1"/>
      <c r="U749" s="1"/>
      <c r="V749" s="1"/>
      <c r="W749" s="1"/>
      <c r="X749" s="1"/>
      <c r="Y749" s="1"/>
      <c r="Z749" s="1"/>
      <c r="AB749" s="1"/>
      <c r="AC749" s="558"/>
      <c r="AD749" s="558"/>
      <c r="AE749" s="1"/>
      <c r="AF749" s="1"/>
      <c r="AG749" s="1"/>
      <c r="AH749" s="559"/>
      <c r="AI749" s="1"/>
      <c r="AJ749" s="1"/>
      <c r="AK749" s="1"/>
      <c r="AL749" s="1"/>
      <c r="AM749" s="1"/>
      <c r="AN749" s="1"/>
      <c r="AO749" s="1"/>
      <c r="AP749" s="1"/>
    </row>
    <row r="750" spans="17:42" ht="62.25" customHeight="1">
      <c r="Q750" s="1"/>
      <c r="R750" s="1"/>
      <c r="S750" s="1"/>
      <c r="T750" s="1"/>
      <c r="U750" s="1"/>
      <c r="V750" s="1"/>
      <c r="W750" s="1"/>
      <c r="X750" s="1"/>
      <c r="Y750" s="1"/>
      <c r="Z750" s="1"/>
      <c r="AB750" s="1"/>
      <c r="AC750" s="558"/>
      <c r="AD750" s="558"/>
      <c r="AE750" s="1"/>
      <c r="AF750" s="1"/>
      <c r="AG750" s="1"/>
      <c r="AH750" s="559"/>
      <c r="AI750" s="1"/>
      <c r="AJ750" s="1"/>
      <c r="AK750" s="1"/>
      <c r="AL750" s="1"/>
      <c r="AM750" s="1"/>
      <c r="AN750" s="1"/>
      <c r="AO750" s="1"/>
      <c r="AP750" s="1"/>
    </row>
    <row r="751" spans="17:42" ht="62.25" customHeight="1">
      <c r="Q751" s="1"/>
      <c r="R751" s="1"/>
      <c r="S751" s="1"/>
      <c r="T751" s="1"/>
      <c r="U751" s="1"/>
      <c r="V751" s="1"/>
      <c r="W751" s="1"/>
      <c r="X751" s="1"/>
      <c r="Y751" s="1"/>
      <c r="Z751" s="1"/>
      <c r="AB751" s="1"/>
      <c r="AC751" s="558"/>
      <c r="AD751" s="558"/>
      <c r="AE751" s="1"/>
      <c r="AF751" s="1"/>
      <c r="AG751" s="1"/>
      <c r="AH751" s="559"/>
      <c r="AI751" s="1"/>
      <c r="AJ751" s="1"/>
      <c r="AK751" s="1"/>
      <c r="AL751" s="1"/>
      <c r="AM751" s="1"/>
      <c r="AN751" s="1"/>
      <c r="AO751" s="1"/>
      <c r="AP751" s="1"/>
    </row>
    <row r="752" spans="17:42" ht="62.25" customHeight="1">
      <c r="Q752" s="1"/>
      <c r="R752" s="1"/>
      <c r="S752" s="1"/>
      <c r="T752" s="1"/>
      <c r="U752" s="1"/>
      <c r="V752" s="1"/>
      <c r="W752" s="1"/>
      <c r="X752" s="1"/>
      <c r="Y752" s="1"/>
      <c r="Z752" s="1"/>
      <c r="AB752" s="1"/>
      <c r="AC752" s="558"/>
      <c r="AD752" s="558"/>
      <c r="AE752" s="1"/>
      <c r="AF752" s="1"/>
      <c r="AG752" s="1"/>
      <c r="AH752" s="559"/>
      <c r="AI752" s="1"/>
      <c r="AJ752" s="1"/>
      <c r="AK752" s="1"/>
      <c r="AL752" s="1"/>
      <c r="AM752" s="1"/>
      <c r="AN752" s="1"/>
      <c r="AO752" s="1"/>
      <c r="AP752" s="1"/>
    </row>
    <row r="753" spans="17:42" ht="62.25" customHeight="1">
      <c r="Q753" s="1"/>
      <c r="R753" s="1"/>
      <c r="S753" s="1"/>
      <c r="T753" s="1"/>
      <c r="U753" s="1"/>
      <c r="V753" s="1"/>
      <c r="W753" s="1"/>
      <c r="X753" s="1"/>
      <c r="Y753" s="1"/>
      <c r="Z753" s="1"/>
      <c r="AB753" s="1"/>
      <c r="AC753" s="558"/>
      <c r="AD753" s="558"/>
      <c r="AE753" s="1"/>
      <c r="AF753" s="1"/>
      <c r="AG753" s="1"/>
      <c r="AH753" s="559"/>
      <c r="AI753" s="1"/>
      <c r="AJ753" s="1"/>
      <c r="AK753" s="1"/>
      <c r="AL753" s="1"/>
      <c r="AM753" s="1"/>
      <c r="AN753" s="1"/>
      <c r="AO753" s="1"/>
      <c r="AP753" s="1"/>
    </row>
    <row r="754" spans="17:42" ht="62.25" customHeight="1">
      <c r="Q754" s="1"/>
      <c r="R754" s="1"/>
      <c r="S754" s="1"/>
      <c r="T754" s="1"/>
      <c r="U754" s="1"/>
      <c r="V754" s="1"/>
      <c r="W754" s="1"/>
      <c r="X754" s="1"/>
      <c r="Y754" s="1"/>
      <c r="Z754" s="1"/>
      <c r="AB754" s="1"/>
      <c r="AC754" s="558"/>
      <c r="AD754" s="558"/>
      <c r="AE754" s="1"/>
      <c r="AF754" s="1"/>
      <c r="AG754" s="1"/>
      <c r="AH754" s="559"/>
      <c r="AI754" s="1"/>
      <c r="AJ754" s="1"/>
      <c r="AK754" s="1"/>
      <c r="AL754" s="1"/>
      <c r="AM754" s="1"/>
      <c r="AN754" s="1"/>
      <c r="AO754" s="1"/>
      <c r="AP754" s="1"/>
    </row>
    <row r="755" spans="17:42" ht="62.25" customHeight="1">
      <c r="Q755" s="1"/>
      <c r="R755" s="1"/>
      <c r="S755" s="1"/>
      <c r="T755" s="1"/>
      <c r="U755" s="1"/>
      <c r="V755" s="1"/>
      <c r="W755" s="1"/>
      <c r="X755" s="1"/>
      <c r="Y755" s="1"/>
      <c r="Z755" s="1"/>
      <c r="AB755" s="1"/>
      <c r="AC755" s="558"/>
      <c r="AD755" s="558"/>
      <c r="AE755" s="1"/>
      <c r="AF755" s="1"/>
      <c r="AG755" s="1"/>
      <c r="AH755" s="559"/>
      <c r="AI755" s="1"/>
      <c r="AJ755" s="1"/>
      <c r="AK755" s="1"/>
      <c r="AL755" s="1"/>
      <c r="AM755" s="1"/>
      <c r="AN755" s="1"/>
      <c r="AO755" s="1"/>
      <c r="AP755" s="1"/>
    </row>
    <row r="756" spans="17:42" ht="62.25" customHeight="1">
      <c r="Q756" s="1"/>
      <c r="R756" s="1"/>
      <c r="S756" s="1"/>
      <c r="T756" s="1"/>
      <c r="U756" s="1"/>
      <c r="V756" s="1"/>
      <c r="W756" s="1"/>
      <c r="X756" s="1"/>
      <c r="Y756" s="1"/>
      <c r="Z756" s="1"/>
      <c r="AB756" s="1"/>
      <c r="AC756" s="558"/>
      <c r="AD756" s="558"/>
      <c r="AE756" s="1"/>
      <c r="AF756" s="1"/>
      <c r="AG756" s="1"/>
      <c r="AH756" s="559"/>
      <c r="AI756" s="1"/>
      <c r="AJ756" s="1"/>
      <c r="AK756" s="1"/>
      <c r="AL756" s="1"/>
      <c r="AM756" s="1"/>
      <c r="AN756" s="1"/>
      <c r="AO756" s="1"/>
      <c r="AP756" s="1"/>
    </row>
    <row r="757" spans="17:42" ht="62.25" customHeight="1">
      <c r="Q757" s="1"/>
      <c r="R757" s="1"/>
      <c r="S757" s="1"/>
      <c r="T757" s="1"/>
      <c r="U757" s="1"/>
      <c r="V757" s="1"/>
      <c r="W757" s="1"/>
      <c r="X757" s="1"/>
      <c r="Y757" s="1"/>
      <c r="Z757" s="1"/>
      <c r="AB757" s="1"/>
      <c r="AC757" s="558"/>
      <c r="AD757" s="558"/>
      <c r="AE757" s="1"/>
      <c r="AF757" s="1"/>
      <c r="AG757" s="1"/>
      <c r="AH757" s="559"/>
      <c r="AI757" s="1"/>
      <c r="AJ757" s="1"/>
      <c r="AK757" s="1"/>
      <c r="AL757" s="1"/>
      <c r="AM757" s="1"/>
      <c r="AN757" s="1"/>
      <c r="AO757" s="1"/>
      <c r="AP757" s="1"/>
    </row>
    <row r="758" spans="17:42" ht="62.25" customHeight="1">
      <c r="Q758" s="1"/>
      <c r="R758" s="1"/>
      <c r="S758" s="1"/>
      <c r="T758" s="1"/>
      <c r="U758" s="1"/>
      <c r="V758" s="1"/>
      <c r="W758" s="1"/>
      <c r="X758" s="1"/>
      <c r="Y758" s="1"/>
      <c r="Z758" s="1"/>
      <c r="AB758" s="1"/>
      <c r="AC758" s="558"/>
      <c r="AD758" s="558"/>
      <c r="AE758" s="1"/>
      <c r="AF758" s="1"/>
      <c r="AG758" s="1"/>
      <c r="AH758" s="559"/>
      <c r="AI758" s="1"/>
      <c r="AJ758" s="1"/>
      <c r="AK758" s="1"/>
      <c r="AL758" s="1"/>
      <c r="AM758" s="1"/>
      <c r="AN758" s="1"/>
      <c r="AO758" s="1"/>
      <c r="AP758" s="1"/>
    </row>
    <row r="759" spans="17:42" ht="62.25" customHeight="1">
      <c r="Q759" s="1"/>
      <c r="R759" s="1"/>
      <c r="S759" s="1"/>
      <c r="T759" s="1"/>
      <c r="U759" s="1"/>
      <c r="V759" s="1"/>
      <c r="W759" s="1"/>
      <c r="X759" s="1"/>
      <c r="Y759" s="1"/>
      <c r="Z759" s="1"/>
      <c r="AB759" s="1"/>
      <c r="AC759" s="558"/>
      <c r="AD759" s="558"/>
      <c r="AE759" s="1"/>
      <c r="AF759" s="1"/>
      <c r="AG759" s="1"/>
      <c r="AH759" s="559"/>
      <c r="AI759" s="1"/>
      <c r="AJ759" s="1"/>
      <c r="AK759" s="1"/>
      <c r="AL759" s="1"/>
      <c r="AM759" s="1"/>
      <c r="AN759" s="1"/>
      <c r="AO759" s="1"/>
      <c r="AP759" s="1"/>
    </row>
    <row r="760" spans="17:42" ht="62.25" customHeight="1">
      <c r="Q760" s="1"/>
      <c r="R760" s="1"/>
      <c r="S760" s="1"/>
      <c r="T760" s="1"/>
      <c r="U760" s="1"/>
      <c r="V760" s="1"/>
      <c r="W760" s="1"/>
      <c r="X760" s="1"/>
      <c r="Y760" s="1"/>
      <c r="Z760" s="1"/>
      <c r="AB760" s="1"/>
      <c r="AC760" s="558"/>
      <c r="AD760" s="558"/>
      <c r="AE760" s="1"/>
      <c r="AF760" s="1"/>
      <c r="AG760" s="1"/>
      <c r="AH760" s="559"/>
      <c r="AI760" s="1"/>
      <c r="AJ760" s="1"/>
      <c r="AK760" s="1"/>
      <c r="AL760" s="1"/>
      <c r="AM760" s="1"/>
      <c r="AN760" s="1"/>
      <c r="AO760" s="1"/>
      <c r="AP760" s="1"/>
    </row>
    <row r="761" spans="17:42" ht="62.25" customHeight="1">
      <c r="Q761" s="1"/>
      <c r="R761" s="1"/>
      <c r="S761" s="1"/>
      <c r="T761" s="1"/>
      <c r="U761" s="1"/>
      <c r="V761" s="1"/>
      <c r="W761" s="1"/>
      <c r="X761" s="1"/>
      <c r="Y761" s="1"/>
      <c r="Z761" s="1"/>
      <c r="AB761" s="1"/>
      <c r="AC761" s="558"/>
      <c r="AD761" s="558"/>
      <c r="AE761" s="1"/>
      <c r="AF761" s="1"/>
      <c r="AG761" s="1"/>
      <c r="AH761" s="559"/>
      <c r="AI761" s="1"/>
      <c r="AJ761" s="1"/>
      <c r="AK761" s="1"/>
      <c r="AL761" s="1"/>
      <c r="AM761" s="1"/>
      <c r="AN761" s="1"/>
      <c r="AO761" s="1"/>
      <c r="AP761" s="1"/>
    </row>
    <row r="762" spans="17:42" ht="62.25" customHeight="1">
      <c r="Q762" s="1"/>
      <c r="R762" s="1"/>
      <c r="S762" s="1"/>
      <c r="T762" s="1"/>
      <c r="U762" s="1"/>
      <c r="V762" s="1"/>
      <c r="W762" s="1"/>
      <c r="X762" s="1"/>
      <c r="Y762" s="1"/>
      <c r="Z762" s="1"/>
      <c r="AB762" s="1"/>
      <c r="AC762" s="558"/>
      <c r="AD762" s="558"/>
      <c r="AE762" s="1"/>
      <c r="AF762" s="1"/>
      <c r="AG762" s="1"/>
      <c r="AH762" s="559"/>
      <c r="AI762" s="1"/>
      <c r="AJ762" s="1"/>
      <c r="AK762" s="1"/>
      <c r="AL762" s="1"/>
      <c r="AM762" s="1"/>
      <c r="AN762" s="1"/>
      <c r="AO762" s="1"/>
      <c r="AP762" s="1"/>
    </row>
    <row r="763" spans="17:42" ht="62.25" customHeight="1">
      <c r="Q763" s="1"/>
      <c r="R763" s="1"/>
      <c r="S763" s="1"/>
      <c r="T763" s="1"/>
      <c r="U763" s="1"/>
      <c r="V763" s="1"/>
      <c r="W763" s="1"/>
      <c r="X763" s="1"/>
      <c r="Y763" s="1"/>
      <c r="Z763" s="1"/>
      <c r="AB763" s="1"/>
      <c r="AC763" s="558"/>
      <c r="AD763" s="558"/>
      <c r="AE763" s="1"/>
      <c r="AF763" s="1"/>
      <c r="AG763" s="1"/>
      <c r="AH763" s="559"/>
      <c r="AI763" s="1"/>
      <c r="AJ763" s="1"/>
      <c r="AK763" s="1"/>
      <c r="AL763" s="1"/>
      <c r="AM763" s="1"/>
      <c r="AN763" s="1"/>
      <c r="AO763" s="1"/>
      <c r="AP763" s="1"/>
    </row>
    <row r="764" spans="17:42" ht="62.25" customHeight="1">
      <c r="Q764" s="1"/>
      <c r="R764" s="1"/>
      <c r="S764" s="1"/>
      <c r="T764" s="1"/>
      <c r="U764" s="1"/>
      <c r="V764" s="1"/>
      <c r="W764" s="1"/>
      <c r="X764" s="1"/>
      <c r="Y764" s="1"/>
      <c r="Z764" s="1"/>
      <c r="AB764" s="1"/>
      <c r="AC764" s="558"/>
      <c r="AD764" s="558"/>
      <c r="AE764" s="1"/>
      <c r="AF764" s="1"/>
      <c r="AG764" s="1"/>
      <c r="AH764" s="559"/>
      <c r="AI764" s="1"/>
      <c r="AJ764" s="1"/>
      <c r="AK764" s="1"/>
      <c r="AL764" s="1"/>
      <c r="AM764" s="1"/>
      <c r="AN764" s="1"/>
      <c r="AO764" s="1"/>
      <c r="AP764" s="1"/>
    </row>
    <row r="765" spans="17:42" ht="62.25" customHeight="1">
      <c r="Q765" s="1"/>
      <c r="R765" s="1"/>
      <c r="S765" s="1"/>
      <c r="T765" s="1"/>
      <c r="U765" s="1"/>
      <c r="V765" s="1"/>
      <c r="W765" s="1"/>
      <c r="X765" s="1"/>
      <c r="Y765" s="1"/>
      <c r="Z765" s="1"/>
      <c r="AB765" s="1"/>
      <c r="AC765" s="558"/>
      <c r="AD765" s="558"/>
      <c r="AE765" s="1"/>
      <c r="AF765" s="1"/>
      <c r="AG765" s="1"/>
      <c r="AH765" s="559"/>
      <c r="AI765" s="1"/>
      <c r="AJ765" s="1"/>
      <c r="AK765" s="1"/>
      <c r="AL765" s="1"/>
      <c r="AM765" s="1"/>
      <c r="AN765" s="1"/>
      <c r="AO765" s="1"/>
      <c r="AP765" s="1"/>
    </row>
    <row r="766" spans="17:42" ht="62.25" customHeight="1">
      <c r="Q766" s="1"/>
      <c r="R766" s="1"/>
      <c r="S766" s="1"/>
      <c r="T766" s="1"/>
      <c r="U766" s="1"/>
      <c r="V766" s="1"/>
      <c r="W766" s="1"/>
      <c r="X766" s="1"/>
      <c r="Y766" s="1"/>
      <c r="Z766" s="1"/>
      <c r="AB766" s="1"/>
      <c r="AC766" s="558"/>
      <c r="AD766" s="558"/>
      <c r="AE766" s="1"/>
      <c r="AF766" s="1"/>
      <c r="AG766" s="1"/>
      <c r="AH766" s="559"/>
      <c r="AI766" s="1"/>
      <c r="AJ766" s="1"/>
      <c r="AK766" s="1"/>
      <c r="AL766" s="1"/>
      <c r="AM766" s="1"/>
      <c r="AN766" s="1"/>
      <c r="AO766" s="1"/>
      <c r="AP766" s="1"/>
    </row>
    <row r="767" spans="17:42" ht="62.25" customHeight="1">
      <c r="Q767" s="1"/>
      <c r="R767" s="1"/>
      <c r="S767" s="1"/>
      <c r="T767" s="1"/>
      <c r="U767" s="1"/>
      <c r="V767" s="1"/>
      <c r="W767" s="1"/>
      <c r="X767" s="1"/>
      <c r="Y767" s="1"/>
      <c r="Z767" s="1"/>
      <c r="AB767" s="1"/>
      <c r="AC767" s="558"/>
      <c r="AD767" s="558"/>
      <c r="AE767" s="1"/>
      <c r="AF767" s="1"/>
      <c r="AG767" s="1"/>
      <c r="AH767" s="559"/>
      <c r="AI767" s="1"/>
      <c r="AJ767" s="1"/>
      <c r="AK767" s="1"/>
      <c r="AL767" s="1"/>
      <c r="AM767" s="1"/>
      <c r="AN767" s="1"/>
      <c r="AO767" s="1"/>
      <c r="AP767" s="1"/>
    </row>
    <row r="768" spans="17:42" ht="62.25" customHeight="1">
      <c r="Q768" s="1"/>
      <c r="R768" s="1"/>
      <c r="S768" s="1"/>
      <c r="T768" s="1"/>
      <c r="U768" s="1"/>
      <c r="V768" s="1"/>
      <c r="W768" s="1"/>
      <c r="X768" s="1"/>
      <c r="Y768" s="1"/>
      <c r="Z768" s="1"/>
      <c r="AB768" s="1"/>
      <c r="AC768" s="558"/>
      <c r="AD768" s="558"/>
      <c r="AE768" s="1"/>
      <c r="AF768" s="1"/>
      <c r="AG768" s="1"/>
      <c r="AH768" s="559"/>
      <c r="AI768" s="1"/>
      <c r="AJ768" s="1"/>
      <c r="AK768" s="1"/>
      <c r="AL768" s="1"/>
      <c r="AM768" s="1"/>
      <c r="AN768" s="1"/>
      <c r="AO768" s="1"/>
      <c r="AP768" s="1"/>
    </row>
    <row r="769" spans="17:42" ht="62.25" customHeight="1">
      <c r="Q769" s="1"/>
      <c r="R769" s="1"/>
      <c r="S769" s="1"/>
      <c r="T769" s="1"/>
      <c r="U769" s="1"/>
      <c r="V769" s="1"/>
      <c r="W769" s="1"/>
      <c r="X769" s="1"/>
      <c r="Y769" s="1"/>
      <c r="Z769" s="1"/>
      <c r="AB769" s="1"/>
      <c r="AC769" s="558"/>
      <c r="AD769" s="558"/>
      <c r="AE769" s="1"/>
      <c r="AF769" s="1"/>
      <c r="AG769" s="1"/>
      <c r="AH769" s="559"/>
      <c r="AI769" s="1"/>
      <c r="AJ769" s="1"/>
      <c r="AK769" s="1"/>
      <c r="AL769" s="1"/>
      <c r="AM769" s="1"/>
      <c r="AN769" s="1"/>
      <c r="AO769" s="1"/>
      <c r="AP769" s="1"/>
    </row>
    <row r="770" spans="17:42" ht="62.25" customHeight="1">
      <c r="Q770" s="1"/>
      <c r="R770" s="1"/>
      <c r="S770" s="1"/>
      <c r="T770" s="1"/>
      <c r="U770" s="1"/>
      <c r="V770" s="1"/>
      <c r="W770" s="1"/>
      <c r="X770" s="1"/>
      <c r="Y770" s="1"/>
      <c r="Z770" s="1"/>
      <c r="AB770" s="1"/>
      <c r="AC770" s="558"/>
      <c r="AD770" s="558"/>
      <c r="AE770" s="1"/>
      <c r="AF770" s="1"/>
      <c r="AG770" s="1"/>
      <c r="AH770" s="559"/>
      <c r="AI770" s="1"/>
      <c r="AJ770" s="1"/>
      <c r="AK770" s="1"/>
      <c r="AL770" s="1"/>
      <c r="AM770" s="1"/>
      <c r="AN770" s="1"/>
      <c r="AO770" s="1"/>
      <c r="AP770" s="1"/>
    </row>
    <row r="771" spans="17:42" ht="62.25" customHeight="1">
      <c r="Q771" s="1"/>
      <c r="R771" s="1"/>
      <c r="S771" s="1"/>
      <c r="T771" s="1"/>
      <c r="U771" s="1"/>
      <c r="V771" s="1"/>
      <c r="W771" s="1"/>
      <c r="X771" s="1"/>
      <c r="Y771" s="1"/>
      <c r="Z771" s="1"/>
      <c r="AB771" s="1"/>
      <c r="AC771" s="558"/>
      <c r="AD771" s="558"/>
      <c r="AE771" s="1"/>
      <c r="AF771" s="1"/>
      <c r="AG771" s="1"/>
      <c r="AH771" s="559"/>
      <c r="AI771" s="1"/>
      <c r="AJ771" s="1"/>
      <c r="AK771" s="1"/>
      <c r="AL771" s="1"/>
      <c r="AM771" s="1"/>
      <c r="AN771" s="1"/>
      <c r="AO771" s="1"/>
      <c r="AP771" s="1"/>
    </row>
    <row r="772" spans="17:42" ht="62.25" customHeight="1">
      <c r="Q772" s="1"/>
      <c r="R772" s="1"/>
      <c r="S772" s="1"/>
      <c r="T772" s="1"/>
      <c r="U772" s="1"/>
      <c r="V772" s="1"/>
      <c r="W772" s="1"/>
      <c r="X772" s="1"/>
      <c r="Y772" s="1"/>
      <c r="Z772" s="1"/>
      <c r="AB772" s="1"/>
      <c r="AC772" s="558"/>
      <c r="AD772" s="558"/>
      <c r="AE772" s="1"/>
      <c r="AF772" s="1"/>
      <c r="AG772" s="1"/>
      <c r="AH772" s="559"/>
      <c r="AI772" s="1"/>
      <c r="AJ772" s="1"/>
      <c r="AK772" s="1"/>
      <c r="AL772" s="1"/>
      <c r="AM772" s="1"/>
      <c r="AN772" s="1"/>
      <c r="AO772" s="1"/>
      <c r="AP772" s="1"/>
    </row>
    <row r="773" spans="17:42" ht="62.25" customHeight="1">
      <c r="Q773" s="1"/>
      <c r="R773" s="1"/>
      <c r="S773" s="1"/>
      <c r="T773" s="1"/>
      <c r="U773" s="1"/>
      <c r="V773" s="1"/>
      <c r="W773" s="1"/>
      <c r="X773" s="1"/>
      <c r="Y773" s="1"/>
      <c r="Z773" s="1"/>
      <c r="AB773" s="1"/>
      <c r="AC773" s="558"/>
      <c r="AD773" s="558"/>
      <c r="AE773" s="1"/>
      <c r="AF773" s="1"/>
      <c r="AG773" s="1"/>
      <c r="AH773" s="559"/>
      <c r="AI773" s="1"/>
      <c r="AJ773" s="1"/>
      <c r="AK773" s="1"/>
      <c r="AL773" s="1"/>
      <c r="AM773" s="1"/>
      <c r="AN773" s="1"/>
      <c r="AO773" s="1"/>
      <c r="AP773" s="1"/>
    </row>
    <row r="774" spans="17:42" ht="62.25" customHeight="1">
      <c r="Q774" s="1"/>
      <c r="R774" s="1"/>
      <c r="S774" s="1"/>
      <c r="T774" s="1"/>
      <c r="U774" s="1"/>
      <c r="V774" s="1"/>
      <c r="W774" s="1"/>
      <c r="X774" s="1"/>
      <c r="Y774" s="1"/>
      <c r="Z774" s="1"/>
      <c r="AB774" s="1"/>
      <c r="AC774" s="558"/>
      <c r="AD774" s="558"/>
      <c r="AE774" s="1"/>
      <c r="AF774" s="1"/>
      <c r="AG774" s="1"/>
      <c r="AH774" s="559"/>
      <c r="AI774" s="1"/>
      <c r="AJ774" s="1"/>
      <c r="AK774" s="1"/>
      <c r="AL774" s="1"/>
      <c r="AM774" s="1"/>
      <c r="AN774" s="1"/>
      <c r="AO774" s="1"/>
      <c r="AP774" s="1"/>
    </row>
    <row r="775" spans="17:42" ht="62.25" customHeight="1">
      <c r="Q775" s="1"/>
      <c r="R775" s="1"/>
      <c r="S775" s="1"/>
      <c r="T775" s="1"/>
      <c r="U775" s="1"/>
      <c r="V775" s="1"/>
      <c r="W775" s="1"/>
      <c r="X775" s="1"/>
      <c r="Y775" s="1"/>
      <c r="Z775" s="1"/>
      <c r="AB775" s="1"/>
      <c r="AC775" s="558"/>
      <c r="AD775" s="558"/>
      <c r="AE775" s="1"/>
      <c r="AF775" s="1"/>
      <c r="AG775" s="1"/>
      <c r="AH775" s="559"/>
      <c r="AI775" s="1"/>
      <c r="AJ775" s="1"/>
      <c r="AK775" s="1"/>
      <c r="AL775" s="1"/>
      <c r="AM775" s="1"/>
      <c r="AN775" s="1"/>
      <c r="AO775" s="1"/>
      <c r="AP775" s="1"/>
    </row>
    <row r="776" spans="17:42" ht="62.25" customHeight="1">
      <c r="Q776" s="1"/>
      <c r="R776" s="1"/>
      <c r="S776" s="1"/>
      <c r="T776" s="1"/>
      <c r="U776" s="1"/>
      <c r="V776" s="1"/>
      <c r="W776" s="1"/>
      <c r="X776" s="1"/>
      <c r="Y776" s="1"/>
      <c r="Z776" s="1"/>
      <c r="AB776" s="1"/>
      <c r="AC776" s="558"/>
      <c r="AD776" s="558"/>
      <c r="AE776" s="1"/>
      <c r="AF776" s="1"/>
      <c r="AG776" s="1"/>
      <c r="AH776" s="559"/>
      <c r="AI776" s="1"/>
      <c r="AJ776" s="1"/>
      <c r="AK776" s="1"/>
      <c r="AL776" s="1"/>
      <c r="AM776" s="1"/>
      <c r="AN776" s="1"/>
      <c r="AO776" s="1"/>
      <c r="AP776" s="1"/>
    </row>
    <row r="777" spans="17:42" ht="62.25" customHeight="1">
      <c r="Q777" s="1"/>
      <c r="R777" s="1"/>
      <c r="S777" s="1"/>
      <c r="T777" s="1"/>
      <c r="U777" s="1"/>
      <c r="V777" s="1"/>
      <c r="W777" s="1"/>
      <c r="X777" s="1"/>
      <c r="Y777" s="1"/>
      <c r="Z777" s="1"/>
      <c r="AB777" s="1"/>
      <c r="AC777" s="558"/>
      <c r="AD777" s="558"/>
      <c r="AE777" s="1"/>
      <c r="AF777" s="1"/>
      <c r="AG777" s="1"/>
      <c r="AH777" s="559"/>
      <c r="AI777" s="1"/>
      <c r="AJ777" s="1"/>
      <c r="AK777" s="1"/>
      <c r="AL777" s="1"/>
      <c r="AM777" s="1"/>
      <c r="AN777" s="1"/>
      <c r="AO777" s="1"/>
      <c r="AP777" s="1"/>
    </row>
    <row r="778" spans="17:42" ht="62.25" customHeight="1">
      <c r="Q778" s="1"/>
      <c r="R778" s="1"/>
      <c r="S778" s="1"/>
      <c r="T778" s="1"/>
      <c r="U778" s="1"/>
      <c r="V778" s="1"/>
      <c r="W778" s="1"/>
      <c r="X778" s="1"/>
      <c r="Y778" s="1"/>
      <c r="Z778" s="1"/>
      <c r="AB778" s="1"/>
      <c r="AC778" s="558"/>
      <c r="AD778" s="558"/>
      <c r="AE778" s="1"/>
      <c r="AF778" s="1"/>
      <c r="AG778" s="1"/>
      <c r="AH778" s="559"/>
      <c r="AI778" s="1"/>
      <c r="AJ778" s="1"/>
      <c r="AK778" s="1"/>
      <c r="AL778" s="1"/>
      <c r="AM778" s="1"/>
      <c r="AN778" s="1"/>
      <c r="AO778" s="1"/>
      <c r="AP778" s="1"/>
    </row>
    <row r="779" spans="17:42" ht="62.25" customHeight="1">
      <c r="Q779" s="1"/>
      <c r="R779" s="1"/>
      <c r="S779" s="1"/>
      <c r="T779" s="1"/>
      <c r="U779" s="1"/>
      <c r="V779" s="1"/>
      <c r="W779" s="1"/>
      <c r="X779" s="1"/>
      <c r="Y779" s="1"/>
      <c r="Z779" s="1"/>
      <c r="AB779" s="1"/>
      <c r="AC779" s="558"/>
      <c r="AD779" s="558"/>
      <c r="AE779" s="1"/>
      <c r="AF779" s="1"/>
      <c r="AG779" s="1"/>
      <c r="AH779" s="559"/>
      <c r="AI779" s="1"/>
      <c r="AJ779" s="1"/>
      <c r="AK779" s="1"/>
      <c r="AL779" s="1"/>
      <c r="AM779" s="1"/>
      <c r="AN779" s="1"/>
      <c r="AO779" s="1"/>
      <c r="AP779" s="1"/>
    </row>
    <row r="780" spans="17:42" ht="62.25" customHeight="1">
      <c r="Q780" s="1"/>
      <c r="R780" s="1"/>
      <c r="S780" s="1"/>
      <c r="T780" s="1"/>
      <c r="U780" s="1"/>
      <c r="V780" s="1"/>
      <c r="W780" s="1"/>
      <c r="X780" s="1"/>
      <c r="Y780" s="1"/>
      <c r="Z780" s="1"/>
      <c r="AB780" s="1"/>
      <c r="AC780" s="558"/>
      <c r="AD780" s="558"/>
      <c r="AE780" s="1"/>
      <c r="AF780" s="1"/>
      <c r="AG780" s="1"/>
      <c r="AH780" s="559"/>
      <c r="AI780" s="1"/>
      <c r="AJ780" s="1"/>
      <c r="AK780" s="1"/>
      <c r="AL780" s="1"/>
      <c r="AM780" s="1"/>
      <c r="AN780" s="1"/>
      <c r="AO780" s="1"/>
      <c r="AP780" s="1"/>
    </row>
    <row r="781" spans="17:42" ht="62.25" customHeight="1">
      <c r="Q781" s="1"/>
      <c r="R781" s="1"/>
      <c r="S781" s="1"/>
      <c r="T781" s="1"/>
      <c r="U781" s="1"/>
      <c r="V781" s="1"/>
      <c r="W781" s="1"/>
      <c r="X781" s="1"/>
      <c r="Y781" s="1"/>
      <c r="Z781" s="1"/>
      <c r="AB781" s="1"/>
      <c r="AC781" s="558"/>
      <c r="AD781" s="558"/>
      <c r="AE781" s="1"/>
      <c r="AF781" s="1"/>
      <c r="AG781" s="1"/>
      <c r="AH781" s="559"/>
      <c r="AI781" s="1"/>
      <c r="AJ781" s="1"/>
      <c r="AK781" s="1"/>
      <c r="AL781" s="1"/>
      <c r="AM781" s="1"/>
      <c r="AN781" s="1"/>
      <c r="AO781" s="1"/>
      <c r="AP781" s="1"/>
    </row>
    <row r="782" spans="17:42" ht="62.25" customHeight="1">
      <c r="Q782" s="1"/>
      <c r="R782" s="1"/>
      <c r="S782" s="1"/>
      <c r="T782" s="1"/>
      <c r="U782" s="1"/>
      <c r="V782" s="1"/>
      <c r="W782" s="1"/>
      <c r="X782" s="1"/>
      <c r="Y782" s="1"/>
      <c r="Z782" s="1"/>
      <c r="AB782" s="1"/>
      <c r="AC782" s="558"/>
      <c r="AD782" s="558"/>
      <c r="AE782" s="1"/>
      <c r="AF782" s="1"/>
      <c r="AG782" s="1"/>
      <c r="AH782" s="559"/>
      <c r="AI782" s="1"/>
      <c r="AJ782" s="1"/>
      <c r="AK782" s="1"/>
      <c r="AL782" s="1"/>
      <c r="AM782" s="1"/>
      <c r="AN782" s="1"/>
      <c r="AO782" s="1"/>
      <c r="AP782" s="1"/>
    </row>
    <row r="783" spans="17:42" ht="62.25" customHeight="1">
      <c r="Q783" s="1"/>
      <c r="R783" s="1"/>
      <c r="S783" s="1"/>
      <c r="T783" s="1"/>
      <c r="U783" s="1"/>
      <c r="V783" s="1"/>
      <c r="W783" s="1"/>
      <c r="X783" s="1"/>
      <c r="Y783" s="1"/>
      <c r="Z783" s="1"/>
      <c r="AB783" s="1"/>
      <c r="AC783" s="558"/>
      <c r="AD783" s="558"/>
      <c r="AE783" s="1"/>
      <c r="AF783" s="1"/>
      <c r="AG783" s="1"/>
      <c r="AH783" s="559"/>
      <c r="AI783" s="1"/>
      <c r="AJ783" s="1"/>
      <c r="AK783" s="1"/>
      <c r="AL783" s="1"/>
      <c r="AM783" s="1"/>
      <c r="AN783" s="1"/>
      <c r="AO783" s="1"/>
      <c r="AP783" s="1"/>
    </row>
    <row r="784" spans="17:42" ht="62.25" customHeight="1">
      <c r="Q784" s="1"/>
      <c r="R784" s="1"/>
      <c r="S784" s="1"/>
      <c r="T784" s="1"/>
      <c r="U784" s="1"/>
      <c r="V784" s="1"/>
      <c r="W784" s="1"/>
      <c r="X784" s="1"/>
      <c r="Y784" s="1"/>
      <c r="Z784" s="1"/>
      <c r="AB784" s="1"/>
      <c r="AC784" s="558"/>
      <c r="AD784" s="558"/>
      <c r="AE784" s="1"/>
      <c r="AF784" s="1"/>
      <c r="AG784" s="1"/>
      <c r="AH784" s="559"/>
      <c r="AI784" s="1"/>
      <c r="AJ784" s="1"/>
      <c r="AK784" s="1"/>
      <c r="AL784" s="1"/>
      <c r="AM784" s="1"/>
      <c r="AN784" s="1"/>
      <c r="AO784" s="1"/>
      <c r="AP784" s="1"/>
    </row>
    <row r="785" spans="17:42" ht="62.25" customHeight="1">
      <c r="Q785" s="1"/>
      <c r="R785" s="1"/>
      <c r="S785" s="1"/>
      <c r="T785" s="1"/>
      <c r="U785" s="1"/>
      <c r="V785" s="1"/>
      <c r="W785" s="1"/>
      <c r="X785" s="1"/>
      <c r="Y785" s="1"/>
      <c r="Z785" s="1"/>
      <c r="AB785" s="1"/>
      <c r="AC785" s="558"/>
      <c r="AD785" s="558"/>
      <c r="AE785" s="1"/>
      <c r="AF785" s="1"/>
      <c r="AG785" s="1"/>
      <c r="AH785" s="559"/>
      <c r="AI785" s="1"/>
      <c r="AJ785" s="1"/>
      <c r="AK785" s="1"/>
      <c r="AL785" s="1"/>
      <c r="AM785" s="1"/>
      <c r="AN785" s="1"/>
      <c r="AO785" s="1"/>
      <c r="AP785" s="1"/>
    </row>
    <row r="786" spans="17:42" ht="62.25" customHeight="1">
      <c r="Q786" s="1"/>
      <c r="R786" s="1"/>
      <c r="S786" s="1"/>
      <c r="T786" s="1"/>
      <c r="U786" s="1"/>
      <c r="V786" s="1"/>
      <c r="W786" s="1"/>
      <c r="X786" s="1"/>
      <c r="Y786" s="1"/>
      <c r="Z786" s="1"/>
      <c r="AB786" s="1"/>
      <c r="AC786" s="558"/>
      <c r="AD786" s="558"/>
      <c r="AE786" s="1"/>
      <c r="AF786" s="1"/>
      <c r="AG786" s="1"/>
      <c r="AH786" s="559"/>
      <c r="AI786" s="1"/>
      <c r="AJ786" s="1"/>
      <c r="AK786" s="1"/>
      <c r="AL786" s="1"/>
      <c r="AM786" s="1"/>
      <c r="AN786" s="1"/>
      <c r="AO786" s="1"/>
      <c r="AP786" s="1"/>
    </row>
    <row r="787" spans="17:42" ht="62.25" customHeight="1">
      <c r="Q787" s="1"/>
      <c r="R787" s="1"/>
      <c r="S787" s="1"/>
      <c r="T787" s="1"/>
      <c r="U787" s="1"/>
      <c r="V787" s="1"/>
      <c r="W787" s="1"/>
      <c r="X787" s="1"/>
      <c r="Y787" s="1"/>
      <c r="Z787" s="1"/>
      <c r="AB787" s="1"/>
      <c r="AC787" s="558"/>
      <c r="AD787" s="558"/>
      <c r="AE787" s="1"/>
      <c r="AF787" s="1"/>
      <c r="AG787" s="1"/>
      <c r="AH787" s="559"/>
      <c r="AI787" s="1"/>
      <c r="AJ787" s="1"/>
      <c r="AK787" s="1"/>
      <c r="AL787" s="1"/>
      <c r="AM787" s="1"/>
      <c r="AN787" s="1"/>
      <c r="AO787" s="1"/>
      <c r="AP787" s="1"/>
    </row>
    <row r="788" spans="17:42" ht="62.25" customHeight="1">
      <c r="Q788" s="1"/>
      <c r="R788" s="1"/>
      <c r="S788" s="1"/>
      <c r="T788" s="1"/>
      <c r="U788" s="1"/>
      <c r="V788" s="1"/>
      <c r="W788" s="1"/>
      <c r="X788" s="1"/>
      <c r="Y788" s="1"/>
      <c r="Z788" s="1"/>
      <c r="AB788" s="1"/>
      <c r="AC788" s="558"/>
      <c r="AD788" s="558"/>
      <c r="AE788" s="1"/>
      <c r="AF788" s="1"/>
      <c r="AG788" s="1"/>
      <c r="AH788" s="559"/>
      <c r="AI788" s="1"/>
      <c r="AJ788" s="1"/>
      <c r="AK788" s="1"/>
      <c r="AL788" s="1"/>
      <c r="AM788" s="1"/>
      <c r="AN788" s="1"/>
      <c r="AO788" s="1"/>
      <c r="AP788" s="1"/>
    </row>
    <row r="789" spans="17:42" ht="62.25" customHeight="1">
      <c r="Q789" s="1"/>
      <c r="R789" s="1"/>
      <c r="S789" s="1"/>
      <c r="T789" s="1"/>
      <c r="U789" s="1"/>
      <c r="V789" s="1"/>
      <c r="W789" s="1"/>
      <c r="X789" s="1"/>
      <c r="Y789" s="1"/>
      <c r="Z789" s="1"/>
      <c r="AB789" s="1"/>
      <c r="AC789" s="558"/>
      <c r="AD789" s="558"/>
      <c r="AE789" s="1"/>
      <c r="AF789" s="1"/>
      <c r="AG789" s="1"/>
      <c r="AH789" s="559"/>
      <c r="AI789" s="1"/>
      <c r="AJ789" s="1"/>
      <c r="AK789" s="1"/>
      <c r="AL789" s="1"/>
      <c r="AM789" s="1"/>
      <c r="AN789" s="1"/>
      <c r="AO789" s="1"/>
      <c r="AP789" s="1"/>
    </row>
    <row r="790" spans="17:42" ht="62.25" customHeight="1">
      <c r="Q790" s="1"/>
      <c r="R790" s="1"/>
      <c r="S790" s="1"/>
      <c r="T790" s="1"/>
      <c r="U790" s="1"/>
      <c r="V790" s="1"/>
      <c r="W790" s="1"/>
      <c r="X790" s="1"/>
      <c r="Y790" s="1"/>
      <c r="Z790" s="1"/>
      <c r="AB790" s="1"/>
      <c r="AC790" s="558"/>
      <c r="AD790" s="558"/>
      <c r="AE790" s="1"/>
      <c r="AF790" s="1"/>
      <c r="AG790" s="1"/>
      <c r="AH790" s="559"/>
      <c r="AI790" s="1"/>
      <c r="AJ790" s="1"/>
      <c r="AK790" s="1"/>
      <c r="AL790" s="1"/>
      <c r="AM790" s="1"/>
      <c r="AN790" s="1"/>
      <c r="AO790" s="1"/>
      <c r="AP790" s="1"/>
    </row>
    <row r="791" spans="17:42" ht="62.25" customHeight="1">
      <c r="Q791" s="1"/>
      <c r="R791" s="1"/>
      <c r="S791" s="1"/>
      <c r="T791" s="1"/>
      <c r="U791" s="1"/>
      <c r="V791" s="1"/>
      <c r="W791" s="1"/>
      <c r="X791" s="1"/>
      <c r="Y791" s="1"/>
      <c r="Z791" s="1"/>
      <c r="AB791" s="1"/>
      <c r="AC791" s="558"/>
      <c r="AD791" s="558"/>
      <c r="AE791" s="1"/>
      <c r="AF791" s="1"/>
      <c r="AG791" s="1"/>
      <c r="AH791" s="559"/>
      <c r="AI791" s="1"/>
      <c r="AJ791" s="1"/>
      <c r="AK791" s="1"/>
      <c r="AL791" s="1"/>
      <c r="AM791" s="1"/>
      <c r="AN791" s="1"/>
      <c r="AO791" s="1"/>
      <c r="AP791" s="1"/>
    </row>
    <row r="792" spans="17:42" ht="62.25" customHeight="1">
      <c r="Q792" s="1"/>
      <c r="R792" s="1"/>
      <c r="S792" s="1"/>
      <c r="T792" s="1"/>
      <c r="U792" s="1"/>
      <c r="V792" s="1"/>
      <c r="W792" s="1"/>
      <c r="X792" s="1"/>
      <c r="Y792" s="1"/>
      <c r="Z792" s="1"/>
      <c r="AB792" s="1"/>
      <c r="AC792" s="558"/>
      <c r="AD792" s="558"/>
      <c r="AE792" s="1"/>
      <c r="AF792" s="1"/>
      <c r="AG792" s="1"/>
      <c r="AH792" s="559"/>
      <c r="AI792" s="1"/>
      <c r="AJ792" s="1"/>
      <c r="AK792" s="1"/>
      <c r="AL792" s="1"/>
      <c r="AM792" s="1"/>
      <c r="AN792" s="1"/>
      <c r="AO792" s="1"/>
      <c r="AP792" s="1"/>
    </row>
    <row r="793" spans="17:42" ht="62.25" customHeight="1">
      <c r="Q793" s="1"/>
      <c r="R793" s="1"/>
      <c r="S793" s="1"/>
      <c r="T793" s="1"/>
      <c r="U793" s="1"/>
      <c r="V793" s="1"/>
      <c r="W793" s="1"/>
      <c r="X793" s="1"/>
      <c r="Y793" s="1"/>
      <c r="Z793" s="1"/>
      <c r="AB793" s="1"/>
      <c r="AC793" s="558"/>
      <c r="AD793" s="558"/>
      <c r="AE793" s="1"/>
      <c r="AF793" s="1"/>
      <c r="AG793" s="1"/>
      <c r="AH793" s="559"/>
      <c r="AI793" s="1"/>
      <c r="AJ793" s="1"/>
      <c r="AK793" s="1"/>
      <c r="AL793" s="1"/>
      <c r="AM793" s="1"/>
      <c r="AN793" s="1"/>
      <c r="AO793" s="1"/>
      <c r="AP793" s="1"/>
    </row>
    <row r="794" spans="17:42" ht="62.25" customHeight="1">
      <c r="Q794" s="1"/>
      <c r="R794" s="1"/>
      <c r="S794" s="1"/>
      <c r="T794" s="1"/>
      <c r="U794" s="1"/>
      <c r="V794" s="1"/>
      <c r="W794" s="1"/>
      <c r="X794" s="1"/>
      <c r="Y794" s="1"/>
      <c r="Z794" s="1"/>
      <c r="AB794" s="1"/>
      <c r="AC794" s="558"/>
      <c r="AD794" s="558"/>
      <c r="AE794" s="1"/>
      <c r="AF794" s="1"/>
      <c r="AG794" s="1"/>
      <c r="AH794" s="559"/>
      <c r="AI794" s="1"/>
      <c r="AJ794" s="1"/>
      <c r="AK794" s="1"/>
      <c r="AL794" s="1"/>
      <c r="AM794" s="1"/>
      <c r="AN794" s="1"/>
      <c r="AO794" s="1"/>
      <c r="AP794" s="1"/>
    </row>
    <row r="795" spans="17:42" ht="62.25" customHeight="1">
      <c r="Q795" s="1"/>
      <c r="R795" s="1"/>
      <c r="S795" s="1"/>
      <c r="T795" s="1"/>
      <c r="U795" s="1"/>
      <c r="V795" s="1"/>
      <c r="W795" s="1"/>
      <c r="X795" s="1"/>
      <c r="Y795" s="1"/>
      <c r="Z795" s="1"/>
      <c r="AB795" s="1"/>
      <c r="AC795" s="558"/>
      <c r="AD795" s="558"/>
      <c r="AE795" s="1"/>
      <c r="AF795" s="1"/>
      <c r="AG795" s="1"/>
      <c r="AH795" s="559"/>
      <c r="AI795" s="1"/>
      <c r="AJ795" s="1"/>
      <c r="AK795" s="1"/>
      <c r="AL795" s="1"/>
      <c r="AM795" s="1"/>
      <c r="AN795" s="1"/>
      <c r="AO795" s="1"/>
      <c r="AP795" s="1"/>
    </row>
    <row r="796" spans="17:42" ht="62.25" customHeight="1">
      <c r="Q796" s="1"/>
      <c r="R796" s="1"/>
      <c r="S796" s="1"/>
      <c r="T796" s="1"/>
      <c r="U796" s="1"/>
      <c r="V796" s="1"/>
      <c r="W796" s="1"/>
      <c r="X796" s="1"/>
      <c r="Y796" s="1"/>
      <c r="Z796" s="1"/>
      <c r="AB796" s="1"/>
      <c r="AC796" s="558"/>
      <c r="AD796" s="558"/>
      <c r="AE796" s="1"/>
      <c r="AF796" s="1"/>
      <c r="AG796" s="1"/>
      <c r="AH796" s="559"/>
      <c r="AI796" s="1"/>
      <c r="AJ796" s="1"/>
      <c r="AK796" s="1"/>
      <c r="AL796" s="1"/>
      <c r="AM796" s="1"/>
      <c r="AN796" s="1"/>
      <c r="AO796" s="1"/>
      <c r="AP796" s="1"/>
    </row>
    <row r="797" spans="17:42" ht="62.25" customHeight="1">
      <c r="Q797" s="1"/>
      <c r="R797" s="1"/>
      <c r="S797" s="1"/>
      <c r="T797" s="1"/>
      <c r="U797" s="1"/>
      <c r="V797" s="1"/>
      <c r="W797" s="1"/>
      <c r="X797" s="1"/>
      <c r="Y797" s="1"/>
      <c r="Z797" s="1"/>
      <c r="AB797" s="1"/>
      <c r="AC797" s="558"/>
      <c r="AD797" s="558"/>
      <c r="AE797" s="1"/>
      <c r="AF797" s="1"/>
      <c r="AG797" s="1"/>
      <c r="AH797" s="559"/>
      <c r="AI797" s="1"/>
      <c r="AJ797" s="1"/>
      <c r="AK797" s="1"/>
      <c r="AL797" s="1"/>
      <c r="AM797" s="1"/>
      <c r="AN797" s="1"/>
      <c r="AO797" s="1"/>
      <c r="AP797" s="1"/>
    </row>
    <row r="798" spans="17:42" ht="62.25" customHeight="1">
      <c r="Q798" s="1"/>
      <c r="R798" s="1"/>
      <c r="S798" s="1"/>
      <c r="T798" s="1"/>
      <c r="U798" s="1"/>
      <c r="V798" s="1"/>
      <c r="W798" s="1"/>
      <c r="X798" s="1"/>
      <c r="Y798" s="1"/>
      <c r="Z798" s="1"/>
      <c r="AB798" s="1"/>
      <c r="AC798" s="558"/>
      <c r="AD798" s="558"/>
      <c r="AE798" s="1"/>
      <c r="AF798" s="1"/>
      <c r="AG798" s="1"/>
      <c r="AH798" s="559"/>
      <c r="AI798" s="1"/>
      <c r="AJ798" s="1"/>
      <c r="AK798" s="1"/>
      <c r="AL798" s="1"/>
      <c r="AM798" s="1"/>
      <c r="AN798" s="1"/>
      <c r="AO798" s="1"/>
      <c r="AP798" s="1"/>
    </row>
    <row r="799" spans="17:42" ht="62.25" customHeight="1">
      <c r="Q799" s="1"/>
      <c r="R799" s="1"/>
      <c r="S799" s="1"/>
      <c r="T799" s="1"/>
      <c r="U799" s="1"/>
      <c r="V799" s="1"/>
      <c r="W799" s="1"/>
      <c r="X799" s="1"/>
      <c r="Y799" s="1"/>
      <c r="Z799" s="1"/>
      <c r="AB799" s="1"/>
      <c r="AC799" s="558"/>
      <c r="AD799" s="558"/>
      <c r="AE799" s="1"/>
      <c r="AF799" s="1"/>
      <c r="AG799" s="1"/>
      <c r="AH799" s="559"/>
      <c r="AI799" s="1"/>
      <c r="AJ799" s="1"/>
      <c r="AK799" s="1"/>
      <c r="AL799" s="1"/>
      <c r="AM799" s="1"/>
      <c r="AN799" s="1"/>
      <c r="AO799" s="1"/>
      <c r="AP799" s="1"/>
    </row>
    <row r="800" spans="17:42" ht="62.25" customHeight="1">
      <c r="Q800" s="1"/>
      <c r="R800" s="1"/>
      <c r="S800" s="1"/>
      <c r="T800" s="1"/>
      <c r="U800" s="1"/>
      <c r="V800" s="1"/>
      <c r="W800" s="1"/>
      <c r="X800" s="1"/>
      <c r="Y800" s="1"/>
      <c r="Z800" s="1"/>
      <c r="AB800" s="1"/>
      <c r="AC800" s="558"/>
      <c r="AD800" s="558"/>
      <c r="AE800" s="1"/>
      <c r="AF800" s="1"/>
      <c r="AG800" s="1"/>
      <c r="AH800" s="559"/>
      <c r="AI800" s="1"/>
      <c r="AJ800" s="1"/>
      <c r="AK800" s="1"/>
      <c r="AL800" s="1"/>
      <c r="AM800" s="1"/>
      <c r="AN800" s="1"/>
      <c r="AO800" s="1"/>
      <c r="AP800" s="1"/>
    </row>
    <row r="801" spans="17:42" ht="62.25" customHeight="1">
      <c r="Q801" s="1"/>
      <c r="R801" s="1"/>
      <c r="S801" s="1"/>
      <c r="T801" s="1"/>
      <c r="U801" s="1"/>
      <c r="V801" s="1"/>
      <c r="W801" s="1"/>
      <c r="X801" s="1"/>
      <c r="Y801" s="1"/>
      <c r="Z801" s="1"/>
      <c r="AB801" s="1"/>
      <c r="AC801" s="558"/>
      <c r="AD801" s="558"/>
      <c r="AE801" s="1"/>
      <c r="AF801" s="1"/>
      <c r="AG801" s="1"/>
      <c r="AH801" s="559"/>
      <c r="AI801" s="1"/>
      <c r="AJ801" s="1"/>
      <c r="AK801" s="1"/>
      <c r="AL801" s="1"/>
      <c r="AM801" s="1"/>
      <c r="AN801" s="1"/>
      <c r="AO801" s="1"/>
      <c r="AP801" s="1"/>
    </row>
    <row r="802" spans="17:42" ht="62.25" customHeight="1">
      <c r="Q802" s="1"/>
      <c r="R802" s="1"/>
      <c r="S802" s="1"/>
      <c r="T802" s="1"/>
      <c r="U802" s="1"/>
      <c r="V802" s="1"/>
      <c r="W802" s="1"/>
      <c r="X802" s="1"/>
      <c r="Y802" s="1"/>
      <c r="Z802" s="1"/>
      <c r="AB802" s="1"/>
      <c r="AC802" s="558"/>
      <c r="AD802" s="558"/>
      <c r="AE802" s="1"/>
      <c r="AF802" s="1"/>
      <c r="AG802" s="1"/>
      <c r="AH802" s="559"/>
      <c r="AI802" s="1"/>
      <c r="AJ802" s="1"/>
      <c r="AK802" s="1"/>
      <c r="AL802" s="1"/>
      <c r="AM802" s="1"/>
      <c r="AN802" s="1"/>
      <c r="AO802" s="1"/>
      <c r="AP802" s="1"/>
    </row>
    <row r="803" spans="17:42" ht="62.25" customHeight="1">
      <c r="Q803" s="1"/>
      <c r="R803" s="1"/>
      <c r="S803" s="1"/>
      <c r="T803" s="1"/>
      <c r="U803" s="1"/>
      <c r="V803" s="1"/>
      <c r="W803" s="1"/>
      <c r="X803" s="1"/>
      <c r="Y803" s="1"/>
      <c r="Z803" s="1"/>
      <c r="AB803" s="1"/>
      <c r="AC803" s="558"/>
      <c r="AD803" s="558"/>
      <c r="AE803" s="1"/>
      <c r="AF803" s="1"/>
      <c r="AG803" s="1"/>
      <c r="AH803" s="559"/>
      <c r="AI803" s="1"/>
      <c r="AJ803" s="1"/>
      <c r="AK803" s="1"/>
      <c r="AL803" s="1"/>
      <c r="AM803" s="1"/>
      <c r="AN803" s="1"/>
      <c r="AO803" s="1"/>
      <c r="AP803" s="1"/>
    </row>
    <row r="804" spans="17:42" ht="62.25" customHeight="1">
      <c r="Q804" s="1"/>
      <c r="R804" s="1"/>
      <c r="S804" s="1"/>
      <c r="T804" s="1"/>
      <c r="U804" s="1"/>
      <c r="V804" s="1"/>
      <c r="W804" s="1"/>
      <c r="X804" s="1"/>
      <c r="Y804" s="1"/>
      <c r="Z804" s="1"/>
      <c r="AB804" s="1"/>
      <c r="AC804" s="558"/>
      <c r="AD804" s="558"/>
      <c r="AE804" s="1"/>
      <c r="AF804" s="1"/>
      <c r="AG804" s="1"/>
      <c r="AH804" s="559"/>
      <c r="AI804" s="1"/>
      <c r="AJ804" s="1"/>
      <c r="AK804" s="1"/>
      <c r="AL804" s="1"/>
      <c r="AM804" s="1"/>
      <c r="AN804" s="1"/>
      <c r="AO804" s="1"/>
      <c r="AP804" s="1"/>
    </row>
    <row r="805" spans="17:42" ht="62.25" customHeight="1">
      <c r="Q805" s="1"/>
      <c r="R805" s="1"/>
      <c r="S805" s="1"/>
      <c r="T805" s="1"/>
      <c r="U805" s="1"/>
      <c r="V805" s="1"/>
      <c r="W805" s="1"/>
      <c r="X805" s="1"/>
      <c r="Y805" s="1"/>
      <c r="Z805" s="1"/>
      <c r="AB805" s="1"/>
      <c r="AC805" s="558"/>
      <c r="AD805" s="558"/>
      <c r="AE805" s="1"/>
      <c r="AF805" s="1"/>
      <c r="AG805" s="1"/>
      <c r="AH805" s="559"/>
      <c r="AI805" s="1"/>
      <c r="AJ805" s="1"/>
      <c r="AK805" s="1"/>
      <c r="AL805" s="1"/>
      <c r="AM805" s="1"/>
      <c r="AN805" s="1"/>
      <c r="AO805" s="1"/>
      <c r="AP805" s="1"/>
    </row>
    <row r="806" spans="17:42" ht="62.25" customHeight="1">
      <c r="Q806" s="1"/>
      <c r="R806" s="1"/>
      <c r="S806" s="1"/>
      <c r="T806" s="1"/>
      <c r="U806" s="1"/>
      <c r="V806" s="1"/>
      <c r="W806" s="1"/>
      <c r="X806" s="1"/>
      <c r="Y806" s="1"/>
      <c r="Z806" s="1"/>
      <c r="AB806" s="1"/>
      <c r="AC806" s="558"/>
      <c r="AD806" s="558"/>
      <c r="AE806" s="1"/>
      <c r="AF806" s="1"/>
      <c r="AG806" s="1"/>
      <c r="AH806" s="559"/>
      <c r="AI806" s="1"/>
      <c r="AJ806" s="1"/>
      <c r="AK806" s="1"/>
      <c r="AL806" s="1"/>
      <c r="AM806" s="1"/>
      <c r="AN806" s="1"/>
      <c r="AO806" s="1"/>
      <c r="AP806" s="1"/>
    </row>
    <row r="807" spans="17:42" ht="62.25" customHeight="1">
      <c r="Q807" s="1"/>
      <c r="R807" s="1"/>
      <c r="S807" s="1"/>
      <c r="T807" s="1"/>
      <c r="U807" s="1"/>
      <c r="V807" s="1"/>
      <c r="W807" s="1"/>
      <c r="X807" s="1"/>
      <c r="Y807" s="1"/>
      <c r="Z807" s="1"/>
      <c r="AB807" s="1"/>
      <c r="AC807" s="558"/>
      <c r="AD807" s="558"/>
      <c r="AE807" s="1"/>
      <c r="AF807" s="1"/>
      <c r="AG807" s="1"/>
      <c r="AH807" s="559"/>
      <c r="AI807" s="1"/>
      <c r="AJ807" s="1"/>
      <c r="AK807" s="1"/>
      <c r="AL807" s="1"/>
      <c r="AM807" s="1"/>
      <c r="AN807" s="1"/>
      <c r="AO807" s="1"/>
      <c r="AP807" s="1"/>
    </row>
    <row r="808" spans="17:42" ht="62.25" customHeight="1">
      <c r="Q808" s="1"/>
      <c r="R808" s="1"/>
      <c r="S808" s="1"/>
      <c r="T808" s="1"/>
      <c r="U808" s="1"/>
      <c r="V808" s="1"/>
      <c r="W808" s="1"/>
      <c r="X808" s="1"/>
      <c r="Y808" s="1"/>
      <c r="Z808" s="1"/>
      <c r="AB808" s="1"/>
      <c r="AC808" s="558"/>
      <c r="AD808" s="558"/>
      <c r="AE808" s="1"/>
      <c r="AF808" s="1"/>
      <c r="AG808" s="1"/>
      <c r="AH808" s="559"/>
      <c r="AI808" s="1"/>
      <c r="AJ808" s="1"/>
      <c r="AK808" s="1"/>
      <c r="AL808" s="1"/>
      <c r="AM808" s="1"/>
      <c r="AN808" s="1"/>
      <c r="AO808" s="1"/>
      <c r="AP808" s="1"/>
    </row>
    <row r="809" spans="17:42" ht="62.25" customHeight="1">
      <c r="Q809" s="1"/>
      <c r="R809" s="1"/>
      <c r="S809" s="1"/>
      <c r="T809" s="1"/>
      <c r="U809" s="1"/>
      <c r="V809" s="1"/>
      <c r="W809" s="1"/>
      <c r="X809" s="1"/>
      <c r="Y809" s="1"/>
      <c r="Z809" s="1"/>
      <c r="AB809" s="1"/>
      <c r="AC809" s="558"/>
      <c r="AD809" s="558"/>
      <c r="AE809" s="1"/>
      <c r="AF809" s="1"/>
      <c r="AG809" s="1"/>
      <c r="AH809" s="559"/>
      <c r="AI809" s="1"/>
      <c r="AJ809" s="1"/>
      <c r="AK809" s="1"/>
      <c r="AL809" s="1"/>
      <c r="AM809" s="1"/>
      <c r="AN809" s="1"/>
      <c r="AO809" s="1"/>
      <c r="AP809" s="1"/>
    </row>
    <row r="810" spans="17:42" ht="62.25" customHeight="1">
      <c r="Q810" s="1"/>
      <c r="R810" s="1"/>
      <c r="S810" s="1"/>
      <c r="T810" s="1"/>
      <c r="U810" s="1"/>
      <c r="V810" s="1"/>
      <c r="W810" s="1"/>
      <c r="X810" s="1"/>
      <c r="Y810" s="1"/>
      <c r="Z810" s="1"/>
      <c r="AB810" s="1"/>
      <c r="AC810" s="558"/>
      <c r="AD810" s="558"/>
      <c r="AE810" s="1"/>
      <c r="AF810" s="1"/>
      <c r="AG810" s="1"/>
      <c r="AH810" s="559"/>
      <c r="AI810" s="1"/>
      <c r="AJ810" s="1"/>
      <c r="AK810" s="1"/>
      <c r="AL810" s="1"/>
      <c r="AM810" s="1"/>
      <c r="AN810" s="1"/>
      <c r="AO810" s="1"/>
      <c r="AP810" s="1"/>
    </row>
    <row r="811" spans="17:42" ht="62.25" customHeight="1">
      <c r="Q811" s="1"/>
      <c r="R811" s="1"/>
      <c r="S811" s="1"/>
      <c r="T811" s="1"/>
      <c r="U811" s="1"/>
      <c r="V811" s="1"/>
      <c r="W811" s="1"/>
      <c r="X811" s="1"/>
      <c r="Y811" s="1"/>
      <c r="Z811" s="1"/>
      <c r="AB811" s="1"/>
      <c r="AC811" s="558"/>
      <c r="AD811" s="558"/>
      <c r="AE811" s="1"/>
      <c r="AF811" s="1"/>
      <c r="AG811" s="1"/>
      <c r="AH811" s="559"/>
      <c r="AI811" s="1"/>
      <c r="AJ811" s="1"/>
      <c r="AK811" s="1"/>
      <c r="AL811" s="1"/>
      <c r="AM811" s="1"/>
      <c r="AN811" s="1"/>
      <c r="AO811" s="1"/>
      <c r="AP811" s="1"/>
    </row>
    <row r="812" spans="17:42" ht="62.25" customHeight="1">
      <c r="Q812" s="1"/>
      <c r="R812" s="1"/>
      <c r="S812" s="1"/>
      <c r="T812" s="1"/>
      <c r="U812" s="1"/>
      <c r="V812" s="1"/>
      <c r="W812" s="1"/>
      <c r="X812" s="1"/>
      <c r="Y812" s="1"/>
      <c r="Z812" s="1"/>
      <c r="AB812" s="1"/>
      <c r="AC812" s="558"/>
      <c r="AD812" s="558"/>
      <c r="AE812" s="1"/>
      <c r="AF812" s="1"/>
      <c r="AG812" s="1"/>
      <c r="AH812" s="559"/>
      <c r="AI812" s="1"/>
      <c r="AJ812" s="1"/>
      <c r="AK812" s="1"/>
      <c r="AL812" s="1"/>
      <c r="AM812" s="1"/>
      <c r="AN812" s="1"/>
      <c r="AO812" s="1"/>
      <c r="AP812" s="1"/>
    </row>
    <row r="813" spans="17:42" ht="62.25" customHeight="1">
      <c r="Q813" s="1"/>
      <c r="R813" s="1"/>
      <c r="S813" s="1"/>
      <c r="T813" s="1"/>
      <c r="U813" s="1"/>
      <c r="V813" s="1"/>
      <c r="W813" s="1"/>
      <c r="X813" s="1"/>
      <c r="Y813" s="1"/>
      <c r="Z813" s="1"/>
      <c r="AB813" s="1"/>
      <c r="AC813" s="558"/>
      <c r="AD813" s="558"/>
      <c r="AE813" s="1"/>
      <c r="AF813" s="1"/>
      <c r="AG813" s="1"/>
      <c r="AH813" s="559"/>
      <c r="AI813" s="1"/>
      <c r="AJ813" s="1"/>
      <c r="AK813" s="1"/>
      <c r="AL813" s="1"/>
      <c r="AM813" s="1"/>
      <c r="AN813" s="1"/>
      <c r="AO813" s="1"/>
      <c r="AP813" s="1"/>
    </row>
    <row r="814" spans="17:42" ht="62.25" customHeight="1">
      <c r="Q814" s="1"/>
      <c r="R814" s="1"/>
      <c r="S814" s="1"/>
      <c r="T814" s="1"/>
      <c r="U814" s="1"/>
      <c r="V814" s="1"/>
      <c r="W814" s="1"/>
      <c r="X814" s="1"/>
      <c r="Y814" s="1"/>
      <c r="Z814" s="1"/>
      <c r="AB814" s="1"/>
      <c r="AC814" s="558"/>
      <c r="AD814" s="558"/>
      <c r="AE814" s="1"/>
      <c r="AF814" s="1"/>
      <c r="AG814" s="1"/>
      <c r="AH814" s="559"/>
      <c r="AI814" s="1"/>
      <c r="AJ814" s="1"/>
      <c r="AK814" s="1"/>
      <c r="AL814" s="1"/>
      <c r="AM814" s="1"/>
      <c r="AN814" s="1"/>
      <c r="AO814" s="1"/>
      <c r="AP814" s="1"/>
    </row>
    <row r="815" spans="17:42" ht="62.25" customHeight="1">
      <c r="Q815" s="1"/>
      <c r="R815" s="1"/>
      <c r="S815" s="1"/>
      <c r="T815" s="1"/>
      <c r="U815" s="1"/>
      <c r="V815" s="1"/>
      <c r="W815" s="1"/>
      <c r="X815" s="1"/>
      <c r="Y815" s="1"/>
      <c r="Z815" s="1"/>
      <c r="AB815" s="1"/>
      <c r="AC815" s="558"/>
      <c r="AD815" s="558"/>
      <c r="AE815" s="1"/>
      <c r="AF815" s="1"/>
      <c r="AG815" s="1"/>
      <c r="AH815" s="559"/>
      <c r="AI815" s="1"/>
      <c r="AJ815" s="1"/>
      <c r="AK815" s="1"/>
      <c r="AL815" s="1"/>
      <c r="AM815" s="1"/>
      <c r="AN815" s="1"/>
      <c r="AO815" s="1"/>
      <c r="AP815" s="1"/>
    </row>
    <row r="816" spans="17:42" ht="62.25" customHeight="1">
      <c r="Q816" s="1"/>
      <c r="R816" s="1"/>
      <c r="S816" s="1"/>
      <c r="T816" s="1"/>
      <c r="U816" s="1"/>
      <c r="V816" s="1"/>
      <c r="W816" s="1"/>
      <c r="X816" s="1"/>
      <c r="Y816" s="1"/>
      <c r="Z816" s="1"/>
      <c r="AB816" s="1"/>
      <c r="AC816" s="558"/>
      <c r="AD816" s="558"/>
      <c r="AE816" s="1"/>
      <c r="AF816" s="1"/>
      <c r="AG816" s="1"/>
      <c r="AH816" s="559"/>
      <c r="AI816" s="1"/>
      <c r="AJ816" s="1"/>
      <c r="AK816" s="1"/>
      <c r="AL816" s="1"/>
      <c r="AM816" s="1"/>
      <c r="AN816" s="1"/>
      <c r="AO816" s="1"/>
      <c r="AP816" s="1"/>
    </row>
    <row r="817" spans="17:42" ht="62.25" customHeight="1">
      <c r="Q817" s="1"/>
      <c r="R817" s="1"/>
      <c r="S817" s="1"/>
      <c r="T817" s="1"/>
      <c r="U817" s="1"/>
      <c r="V817" s="1"/>
      <c r="W817" s="1"/>
      <c r="X817" s="1"/>
      <c r="Y817" s="1"/>
      <c r="Z817" s="1"/>
      <c r="AB817" s="1"/>
      <c r="AC817" s="558"/>
      <c r="AD817" s="558"/>
      <c r="AE817" s="1"/>
      <c r="AF817" s="1"/>
      <c r="AG817" s="1"/>
      <c r="AH817" s="559"/>
      <c r="AI817" s="1"/>
      <c r="AJ817" s="1"/>
      <c r="AK817" s="1"/>
      <c r="AL817" s="1"/>
      <c r="AM817" s="1"/>
      <c r="AN817" s="1"/>
      <c r="AO817" s="1"/>
      <c r="AP817" s="1"/>
    </row>
    <row r="818" spans="17:42" ht="62.25" customHeight="1">
      <c r="Q818" s="1"/>
      <c r="R818" s="1"/>
      <c r="S818" s="1"/>
      <c r="T818" s="1"/>
      <c r="U818" s="1"/>
      <c r="V818" s="1"/>
      <c r="W818" s="1"/>
      <c r="X818" s="1"/>
      <c r="Y818" s="1"/>
      <c r="Z818" s="1"/>
      <c r="AB818" s="1"/>
      <c r="AC818" s="558"/>
      <c r="AD818" s="558"/>
      <c r="AE818" s="1"/>
      <c r="AF818" s="1"/>
      <c r="AG818" s="1"/>
      <c r="AH818" s="559"/>
      <c r="AI818" s="1"/>
      <c r="AJ818" s="1"/>
      <c r="AK818" s="1"/>
      <c r="AL818" s="1"/>
      <c r="AM818" s="1"/>
      <c r="AN818" s="1"/>
      <c r="AO818" s="1"/>
      <c r="AP818" s="1"/>
    </row>
    <row r="819" spans="17:42" ht="62.25" customHeight="1">
      <c r="Q819" s="1"/>
      <c r="R819" s="1"/>
      <c r="S819" s="1"/>
      <c r="T819" s="1"/>
      <c r="U819" s="1"/>
      <c r="V819" s="1"/>
      <c r="W819" s="1"/>
      <c r="X819" s="1"/>
      <c r="Y819" s="1"/>
      <c r="Z819" s="1"/>
      <c r="AB819" s="1"/>
      <c r="AC819" s="558"/>
      <c r="AD819" s="558"/>
      <c r="AE819" s="1"/>
      <c r="AF819" s="1"/>
      <c r="AG819" s="1"/>
      <c r="AH819" s="559"/>
      <c r="AI819" s="1"/>
      <c r="AJ819" s="1"/>
      <c r="AK819" s="1"/>
      <c r="AL819" s="1"/>
      <c r="AM819" s="1"/>
      <c r="AN819" s="1"/>
      <c r="AO819" s="1"/>
      <c r="AP819" s="1"/>
    </row>
    <row r="820" spans="17:42" ht="62.25" customHeight="1">
      <c r="Q820" s="1"/>
      <c r="R820" s="1"/>
      <c r="S820" s="1"/>
      <c r="T820" s="1"/>
      <c r="U820" s="1"/>
      <c r="V820" s="1"/>
      <c r="W820" s="1"/>
      <c r="X820" s="1"/>
      <c r="Y820" s="1"/>
      <c r="Z820" s="1"/>
      <c r="AB820" s="1"/>
      <c r="AC820" s="558"/>
      <c r="AD820" s="558"/>
      <c r="AE820" s="1"/>
      <c r="AF820" s="1"/>
      <c r="AG820" s="1"/>
      <c r="AH820" s="559"/>
      <c r="AI820" s="1"/>
      <c r="AJ820" s="1"/>
      <c r="AK820" s="1"/>
      <c r="AL820" s="1"/>
      <c r="AM820" s="1"/>
      <c r="AN820" s="1"/>
      <c r="AO820" s="1"/>
      <c r="AP820" s="1"/>
    </row>
    <row r="821" spans="17:42" ht="62.25" customHeight="1">
      <c r="Q821" s="1"/>
      <c r="R821" s="1"/>
      <c r="S821" s="1"/>
      <c r="T821" s="1"/>
      <c r="U821" s="1"/>
      <c r="V821" s="1"/>
      <c r="W821" s="1"/>
      <c r="X821" s="1"/>
      <c r="Y821" s="1"/>
      <c r="Z821" s="1"/>
      <c r="AB821" s="1"/>
      <c r="AC821" s="558"/>
      <c r="AD821" s="558"/>
      <c r="AE821" s="1"/>
      <c r="AF821" s="1"/>
      <c r="AG821" s="1"/>
      <c r="AH821" s="559"/>
      <c r="AI821" s="1"/>
      <c r="AJ821" s="1"/>
      <c r="AK821" s="1"/>
      <c r="AL821" s="1"/>
      <c r="AM821" s="1"/>
      <c r="AN821" s="1"/>
      <c r="AO821" s="1"/>
      <c r="AP821" s="1"/>
    </row>
    <row r="822" spans="17:42" ht="62.25" customHeight="1">
      <c r="Q822" s="1"/>
      <c r="R822" s="1"/>
      <c r="S822" s="1"/>
      <c r="T822" s="1"/>
      <c r="U822" s="1"/>
      <c r="V822" s="1"/>
      <c r="W822" s="1"/>
      <c r="X822" s="1"/>
      <c r="Y822" s="1"/>
      <c r="Z822" s="1"/>
      <c r="AB822" s="1"/>
      <c r="AC822" s="558"/>
      <c r="AD822" s="558"/>
      <c r="AE822" s="1"/>
      <c r="AF822" s="1"/>
      <c r="AG822" s="1"/>
      <c r="AH822" s="559"/>
      <c r="AI822" s="1"/>
      <c r="AJ822" s="1"/>
      <c r="AK822" s="1"/>
      <c r="AL822" s="1"/>
      <c r="AM822" s="1"/>
      <c r="AN822" s="1"/>
      <c r="AO822" s="1"/>
      <c r="AP822" s="1"/>
    </row>
    <row r="823" spans="17:42" ht="62.25" customHeight="1">
      <c r="Q823" s="1"/>
      <c r="R823" s="1"/>
      <c r="S823" s="1"/>
      <c r="T823" s="1"/>
      <c r="U823" s="1"/>
      <c r="V823" s="1"/>
      <c r="W823" s="1"/>
      <c r="X823" s="1"/>
      <c r="Y823" s="1"/>
      <c r="Z823" s="1"/>
      <c r="AB823" s="1"/>
      <c r="AC823" s="558"/>
      <c r="AD823" s="558"/>
      <c r="AE823" s="1"/>
      <c r="AF823" s="1"/>
      <c r="AG823" s="1"/>
      <c r="AH823" s="559"/>
      <c r="AI823" s="1"/>
      <c r="AJ823" s="1"/>
      <c r="AK823" s="1"/>
      <c r="AL823" s="1"/>
      <c r="AM823" s="1"/>
      <c r="AN823" s="1"/>
      <c r="AO823" s="1"/>
      <c r="AP823" s="1"/>
    </row>
    <row r="824" spans="17:42" ht="62.25" customHeight="1">
      <c r="Q824" s="1"/>
      <c r="R824" s="1"/>
      <c r="S824" s="1"/>
      <c r="T824" s="1"/>
      <c r="U824" s="1"/>
      <c r="V824" s="1"/>
      <c r="W824" s="1"/>
      <c r="X824" s="1"/>
      <c r="Y824" s="1"/>
      <c r="Z824" s="1"/>
      <c r="AB824" s="1"/>
      <c r="AC824" s="558"/>
      <c r="AD824" s="558"/>
      <c r="AE824" s="1"/>
      <c r="AF824" s="1"/>
      <c r="AG824" s="1"/>
      <c r="AH824" s="559"/>
      <c r="AI824" s="1"/>
      <c r="AJ824" s="1"/>
      <c r="AK824" s="1"/>
      <c r="AL824" s="1"/>
      <c r="AM824" s="1"/>
      <c r="AN824" s="1"/>
      <c r="AO824" s="1"/>
      <c r="AP824" s="1"/>
    </row>
    <row r="825" spans="17:42" ht="62.25" customHeight="1">
      <c r="Q825" s="1"/>
      <c r="R825" s="1"/>
      <c r="S825" s="1"/>
      <c r="T825" s="1"/>
      <c r="U825" s="1"/>
      <c r="V825" s="1"/>
      <c r="W825" s="1"/>
      <c r="X825" s="1"/>
      <c r="Y825" s="1"/>
      <c r="Z825" s="1"/>
      <c r="AB825" s="1"/>
      <c r="AC825" s="558"/>
      <c r="AD825" s="558"/>
      <c r="AE825" s="1"/>
      <c r="AF825" s="1"/>
      <c r="AG825" s="1"/>
      <c r="AH825" s="559"/>
      <c r="AI825" s="1"/>
      <c r="AJ825" s="1"/>
      <c r="AK825" s="1"/>
      <c r="AL825" s="1"/>
      <c r="AM825" s="1"/>
      <c r="AN825" s="1"/>
      <c r="AO825" s="1"/>
      <c r="AP825" s="1"/>
    </row>
    <row r="826" spans="17:42" ht="62.25" customHeight="1">
      <c r="Q826" s="1"/>
      <c r="R826" s="1"/>
      <c r="S826" s="1"/>
      <c r="T826" s="1"/>
      <c r="U826" s="1"/>
      <c r="V826" s="1"/>
      <c r="W826" s="1"/>
      <c r="X826" s="1"/>
      <c r="Y826" s="1"/>
      <c r="Z826" s="1"/>
      <c r="AB826" s="1"/>
      <c r="AC826" s="558"/>
      <c r="AD826" s="558"/>
      <c r="AE826" s="1"/>
      <c r="AF826" s="1"/>
      <c r="AG826" s="1"/>
      <c r="AH826" s="559"/>
      <c r="AI826" s="1"/>
      <c r="AJ826" s="1"/>
      <c r="AK826" s="1"/>
      <c r="AL826" s="1"/>
      <c r="AM826" s="1"/>
      <c r="AN826" s="1"/>
      <c r="AO826" s="1"/>
      <c r="AP826" s="1"/>
    </row>
    <row r="827" spans="17:42" ht="62.25" customHeight="1">
      <c r="Q827" s="1"/>
      <c r="R827" s="1"/>
      <c r="S827" s="1"/>
      <c r="T827" s="1"/>
      <c r="U827" s="1"/>
      <c r="V827" s="1"/>
      <c r="W827" s="1"/>
      <c r="X827" s="1"/>
      <c r="Y827" s="1"/>
      <c r="Z827" s="1"/>
      <c r="AB827" s="1"/>
      <c r="AC827" s="558"/>
      <c r="AD827" s="558"/>
      <c r="AE827" s="1"/>
      <c r="AF827" s="1"/>
      <c r="AG827" s="1"/>
      <c r="AH827" s="559"/>
      <c r="AI827" s="1"/>
      <c r="AJ827" s="1"/>
      <c r="AK827" s="1"/>
      <c r="AL827" s="1"/>
      <c r="AM827" s="1"/>
      <c r="AN827" s="1"/>
      <c r="AO827" s="1"/>
      <c r="AP827" s="1"/>
    </row>
    <row r="828" spans="17:42" ht="62.25" customHeight="1">
      <c r="Q828" s="1"/>
      <c r="R828" s="1"/>
      <c r="S828" s="1"/>
      <c r="T828" s="1"/>
      <c r="U828" s="1"/>
      <c r="V828" s="1"/>
      <c r="W828" s="1"/>
      <c r="X828" s="1"/>
      <c r="Y828" s="1"/>
      <c r="Z828" s="1"/>
      <c r="AB828" s="1"/>
      <c r="AC828" s="558"/>
      <c r="AD828" s="558"/>
      <c r="AE828" s="1"/>
      <c r="AF828" s="1"/>
      <c r="AG828" s="1"/>
      <c r="AH828" s="559"/>
      <c r="AI828" s="1"/>
      <c r="AJ828" s="1"/>
      <c r="AK828" s="1"/>
      <c r="AL828" s="1"/>
      <c r="AM828" s="1"/>
      <c r="AN828" s="1"/>
      <c r="AO828" s="1"/>
      <c r="AP828" s="1"/>
    </row>
    <row r="829" spans="17:42" ht="62.25" customHeight="1">
      <c r="Q829" s="1"/>
      <c r="R829" s="1"/>
      <c r="S829" s="1"/>
      <c r="T829" s="1"/>
      <c r="U829" s="1"/>
      <c r="V829" s="1"/>
      <c r="W829" s="1"/>
      <c r="X829" s="1"/>
      <c r="Y829" s="1"/>
      <c r="Z829" s="1"/>
      <c r="AB829" s="1"/>
      <c r="AC829" s="558"/>
      <c r="AD829" s="558"/>
      <c r="AE829" s="1"/>
      <c r="AF829" s="1"/>
      <c r="AG829" s="1"/>
      <c r="AH829" s="559"/>
      <c r="AI829" s="1"/>
      <c r="AJ829" s="1"/>
      <c r="AK829" s="1"/>
      <c r="AL829" s="1"/>
      <c r="AM829" s="1"/>
      <c r="AN829" s="1"/>
      <c r="AO829" s="1"/>
      <c r="AP829" s="1"/>
    </row>
    <row r="830" spans="17:42" ht="62.25" customHeight="1">
      <c r="Q830" s="1"/>
      <c r="R830" s="1"/>
      <c r="S830" s="1"/>
      <c r="T830" s="1"/>
      <c r="U830" s="1"/>
      <c r="V830" s="1"/>
      <c r="W830" s="1"/>
      <c r="X830" s="1"/>
      <c r="Y830" s="1"/>
      <c r="Z830" s="1"/>
      <c r="AB830" s="1"/>
      <c r="AC830" s="558"/>
      <c r="AD830" s="558"/>
      <c r="AE830" s="1"/>
      <c r="AF830" s="1"/>
      <c r="AG830" s="1"/>
      <c r="AH830" s="559"/>
      <c r="AI830" s="1"/>
      <c r="AJ830" s="1"/>
      <c r="AK830" s="1"/>
      <c r="AL830" s="1"/>
      <c r="AM830" s="1"/>
      <c r="AN830" s="1"/>
      <c r="AO830" s="1"/>
      <c r="AP830" s="1"/>
    </row>
    <row r="831" spans="17:42" ht="62.25" customHeight="1">
      <c r="Q831" s="1"/>
      <c r="R831" s="1"/>
      <c r="S831" s="1"/>
      <c r="T831" s="1"/>
      <c r="U831" s="1"/>
      <c r="V831" s="1"/>
      <c r="W831" s="1"/>
      <c r="X831" s="1"/>
      <c r="Y831" s="1"/>
      <c r="Z831" s="1"/>
      <c r="AB831" s="1"/>
      <c r="AC831" s="558"/>
      <c r="AD831" s="558"/>
      <c r="AE831" s="1"/>
      <c r="AF831" s="1"/>
      <c r="AG831" s="1"/>
      <c r="AH831" s="559"/>
      <c r="AI831" s="1"/>
      <c r="AJ831" s="1"/>
      <c r="AK831" s="1"/>
      <c r="AL831" s="1"/>
      <c r="AM831" s="1"/>
      <c r="AN831" s="1"/>
      <c r="AO831" s="1"/>
      <c r="AP831" s="1"/>
    </row>
    <row r="832" spans="17:42" ht="62.25" customHeight="1">
      <c r="Q832" s="1"/>
      <c r="R832" s="1"/>
      <c r="S832" s="1"/>
      <c r="T832" s="1"/>
      <c r="U832" s="1"/>
      <c r="V832" s="1"/>
      <c r="W832" s="1"/>
      <c r="X832" s="1"/>
      <c r="Y832" s="1"/>
      <c r="Z832" s="1"/>
      <c r="AB832" s="1"/>
      <c r="AC832" s="558"/>
      <c r="AD832" s="558"/>
      <c r="AE832" s="1"/>
      <c r="AF832" s="1"/>
      <c r="AG832" s="1"/>
      <c r="AH832" s="559"/>
      <c r="AI832" s="1"/>
      <c r="AJ832" s="1"/>
      <c r="AK832" s="1"/>
      <c r="AL832" s="1"/>
      <c r="AM832" s="1"/>
      <c r="AN832" s="1"/>
      <c r="AO832" s="1"/>
      <c r="AP832" s="1"/>
    </row>
    <row r="833" spans="17:42" ht="62.25" customHeight="1">
      <c r="Q833" s="1"/>
      <c r="R833" s="1"/>
      <c r="S833" s="1"/>
      <c r="T833" s="1"/>
      <c r="U833" s="1"/>
      <c r="V833" s="1"/>
      <c r="W833" s="1"/>
      <c r="X833" s="1"/>
      <c r="Y833" s="1"/>
      <c r="Z833" s="1"/>
      <c r="AB833" s="1"/>
      <c r="AC833" s="558"/>
      <c r="AD833" s="558"/>
      <c r="AE833" s="1"/>
      <c r="AF833" s="1"/>
      <c r="AG833" s="1"/>
      <c r="AH833" s="559"/>
      <c r="AI833" s="1"/>
      <c r="AJ833" s="1"/>
      <c r="AK833" s="1"/>
      <c r="AL833" s="1"/>
      <c r="AM833" s="1"/>
      <c r="AN833" s="1"/>
      <c r="AO833" s="1"/>
      <c r="AP833" s="1"/>
    </row>
    <row r="834" spans="17:42" ht="62.25" customHeight="1">
      <c r="Q834" s="1"/>
      <c r="R834" s="1"/>
      <c r="S834" s="1"/>
      <c r="T834" s="1"/>
      <c r="U834" s="1"/>
      <c r="V834" s="1"/>
      <c r="W834" s="1"/>
      <c r="X834" s="1"/>
      <c r="Y834" s="1"/>
      <c r="Z834" s="1"/>
      <c r="AB834" s="1"/>
      <c r="AC834" s="558"/>
      <c r="AD834" s="558"/>
      <c r="AE834" s="1"/>
      <c r="AF834" s="1"/>
      <c r="AG834" s="1"/>
      <c r="AH834" s="559"/>
      <c r="AI834" s="1"/>
      <c r="AJ834" s="1"/>
      <c r="AK834" s="1"/>
      <c r="AL834" s="1"/>
      <c r="AM834" s="1"/>
      <c r="AN834" s="1"/>
      <c r="AO834" s="1"/>
      <c r="AP834" s="1"/>
    </row>
    <row r="835" spans="17:42" ht="62.25" customHeight="1">
      <c r="Q835" s="1"/>
      <c r="R835" s="1"/>
      <c r="S835" s="1"/>
      <c r="T835" s="1"/>
      <c r="U835" s="1"/>
      <c r="V835" s="1"/>
      <c r="W835" s="1"/>
      <c r="X835" s="1"/>
      <c r="Y835" s="1"/>
      <c r="Z835" s="1"/>
      <c r="AB835" s="1"/>
      <c r="AC835" s="558"/>
      <c r="AD835" s="558"/>
      <c r="AE835" s="1"/>
      <c r="AF835" s="1"/>
      <c r="AG835" s="1"/>
      <c r="AH835" s="559"/>
      <c r="AI835" s="1"/>
      <c r="AJ835" s="1"/>
      <c r="AK835" s="1"/>
      <c r="AL835" s="1"/>
      <c r="AM835" s="1"/>
      <c r="AN835" s="1"/>
      <c r="AO835" s="1"/>
      <c r="AP835" s="1"/>
    </row>
    <row r="836" spans="17:42" ht="62.25" customHeight="1">
      <c r="Q836" s="1"/>
      <c r="R836" s="1"/>
      <c r="S836" s="1"/>
      <c r="T836" s="1"/>
      <c r="U836" s="1"/>
      <c r="V836" s="1"/>
      <c r="W836" s="1"/>
      <c r="X836" s="1"/>
      <c r="Y836" s="1"/>
      <c r="Z836" s="1"/>
      <c r="AB836" s="1"/>
      <c r="AC836" s="558"/>
      <c r="AD836" s="558"/>
      <c r="AE836" s="1"/>
      <c r="AF836" s="1"/>
      <c r="AG836" s="1"/>
      <c r="AH836" s="559"/>
      <c r="AI836" s="1"/>
      <c r="AJ836" s="1"/>
      <c r="AK836" s="1"/>
      <c r="AL836" s="1"/>
      <c r="AM836" s="1"/>
      <c r="AN836" s="1"/>
      <c r="AO836" s="1"/>
      <c r="AP836" s="1"/>
    </row>
    <row r="837" spans="17:42" ht="62.25" customHeight="1">
      <c r="Q837" s="1"/>
      <c r="R837" s="1"/>
      <c r="S837" s="1"/>
      <c r="T837" s="1"/>
      <c r="U837" s="1"/>
      <c r="V837" s="1"/>
      <c r="W837" s="1"/>
      <c r="X837" s="1"/>
      <c r="Y837" s="1"/>
      <c r="Z837" s="1"/>
      <c r="AB837" s="1"/>
      <c r="AC837" s="558"/>
      <c r="AD837" s="558"/>
      <c r="AE837" s="1"/>
      <c r="AF837" s="1"/>
      <c r="AG837" s="1"/>
      <c r="AH837" s="559"/>
      <c r="AI837" s="1"/>
      <c r="AJ837" s="1"/>
      <c r="AK837" s="1"/>
      <c r="AL837" s="1"/>
      <c r="AM837" s="1"/>
      <c r="AN837" s="1"/>
      <c r="AO837" s="1"/>
      <c r="AP837" s="1"/>
    </row>
    <row r="838" spans="17:42" ht="62.25" customHeight="1">
      <c r="Q838" s="1"/>
      <c r="R838" s="1"/>
      <c r="S838" s="1"/>
      <c r="T838" s="1"/>
      <c r="U838" s="1"/>
      <c r="V838" s="1"/>
      <c r="W838" s="1"/>
      <c r="X838" s="1"/>
      <c r="Y838" s="1"/>
      <c r="Z838" s="1"/>
      <c r="AB838" s="1"/>
      <c r="AC838" s="558"/>
      <c r="AD838" s="558"/>
      <c r="AE838" s="1"/>
      <c r="AF838" s="1"/>
      <c r="AG838" s="1"/>
      <c r="AH838" s="559"/>
      <c r="AI838" s="1"/>
      <c r="AJ838" s="1"/>
      <c r="AK838" s="1"/>
      <c r="AL838" s="1"/>
      <c r="AM838" s="1"/>
      <c r="AN838" s="1"/>
      <c r="AO838" s="1"/>
      <c r="AP838" s="1"/>
    </row>
    <row r="839" spans="17:42" ht="62.25" customHeight="1">
      <c r="Q839" s="1"/>
      <c r="R839" s="1"/>
      <c r="S839" s="1"/>
      <c r="T839" s="1"/>
      <c r="U839" s="1"/>
      <c r="V839" s="1"/>
      <c r="W839" s="1"/>
      <c r="X839" s="1"/>
      <c r="Y839" s="1"/>
      <c r="Z839" s="1"/>
      <c r="AB839" s="1"/>
      <c r="AC839" s="558"/>
      <c r="AD839" s="558"/>
      <c r="AE839" s="1"/>
      <c r="AF839" s="1"/>
      <c r="AG839" s="1"/>
      <c r="AH839" s="559"/>
      <c r="AI839" s="1"/>
      <c r="AJ839" s="1"/>
      <c r="AK839" s="1"/>
      <c r="AL839" s="1"/>
      <c r="AM839" s="1"/>
      <c r="AN839" s="1"/>
      <c r="AO839" s="1"/>
      <c r="AP839" s="1"/>
    </row>
    <row r="840" spans="17:42" ht="62.25" customHeight="1">
      <c r="Q840" s="1"/>
      <c r="R840" s="1"/>
      <c r="S840" s="1"/>
      <c r="T840" s="1"/>
      <c r="U840" s="1"/>
      <c r="V840" s="1"/>
      <c r="W840" s="1"/>
      <c r="X840" s="1"/>
      <c r="Y840" s="1"/>
      <c r="Z840" s="1"/>
      <c r="AB840" s="1"/>
      <c r="AC840" s="558"/>
      <c r="AD840" s="558"/>
      <c r="AE840" s="1"/>
      <c r="AF840" s="1"/>
      <c r="AG840" s="1"/>
      <c r="AH840" s="559"/>
      <c r="AI840" s="1"/>
      <c r="AJ840" s="1"/>
      <c r="AK840" s="1"/>
      <c r="AL840" s="1"/>
      <c r="AM840" s="1"/>
      <c r="AN840" s="1"/>
      <c r="AO840" s="1"/>
      <c r="AP840" s="1"/>
    </row>
    <row r="841" spans="17:42" ht="62.25" customHeight="1">
      <c r="Q841" s="1"/>
      <c r="R841" s="1"/>
      <c r="S841" s="1"/>
      <c r="T841" s="1"/>
      <c r="U841" s="1"/>
      <c r="V841" s="1"/>
      <c r="W841" s="1"/>
      <c r="X841" s="1"/>
      <c r="Y841" s="1"/>
      <c r="Z841" s="1"/>
      <c r="AB841" s="1"/>
      <c r="AC841" s="558"/>
      <c r="AD841" s="558"/>
      <c r="AE841" s="1"/>
      <c r="AF841" s="1"/>
      <c r="AG841" s="1"/>
      <c r="AH841" s="559"/>
      <c r="AI841" s="1"/>
      <c r="AJ841" s="1"/>
      <c r="AK841" s="1"/>
      <c r="AL841" s="1"/>
      <c r="AM841" s="1"/>
      <c r="AN841" s="1"/>
      <c r="AO841" s="1"/>
      <c r="AP841" s="1"/>
    </row>
    <row r="842" spans="17:42" ht="62.25" customHeight="1">
      <c r="Q842" s="1"/>
      <c r="R842" s="1"/>
      <c r="S842" s="1"/>
      <c r="T842" s="1"/>
      <c r="U842" s="1"/>
      <c r="V842" s="1"/>
      <c r="W842" s="1"/>
      <c r="X842" s="1"/>
      <c r="Y842" s="1"/>
      <c r="Z842" s="1"/>
      <c r="AB842" s="1"/>
      <c r="AC842" s="558"/>
      <c r="AD842" s="558"/>
      <c r="AE842" s="1"/>
      <c r="AF842" s="1"/>
      <c r="AG842" s="1"/>
      <c r="AH842" s="559"/>
      <c r="AI842" s="1"/>
      <c r="AJ842" s="1"/>
      <c r="AK842" s="1"/>
      <c r="AL842" s="1"/>
      <c r="AM842" s="1"/>
      <c r="AN842" s="1"/>
      <c r="AO842" s="1"/>
      <c r="AP842" s="1"/>
    </row>
    <row r="843" spans="17:42" ht="62.25" customHeight="1">
      <c r="Q843" s="1"/>
      <c r="R843" s="1"/>
      <c r="S843" s="1"/>
      <c r="T843" s="1"/>
      <c r="U843" s="1"/>
      <c r="V843" s="1"/>
      <c r="W843" s="1"/>
      <c r="X843" s="1"/>
      <c r="Y843" s="1"/>
      <c r="Z843" s="1"/>
      <c r="AB843" s="1"/>
      <c r="AC843" s="558"/>
      <c r="AD843" s="558"/>
      <c r="AE843" s="1"/>
      <c r="AF843" s="1"/>
      <c r="AG843" s="1"/>
      <c r="AH843" s="559"/>
      <c r="AI843" s="1"/>
      <c r="AJ843" s="1"/>
      <c r="AK843" s="1"/>
      <c r="AL843" s="1"/>
      <c r="AM843" s="1"/>
      <c r="AN843" s="1"/>
      <c r="AO843" s="1"/>
      <c r="AP843" s="1"/>
    </row>
    <row r="844" spans="17:42" ht="62.25" customHeight="1">
      <c r="Q844" s="1"/>
      <c r="R844" s="1"/>
      <c r="S844" s="1"/>
      <c r="T844" s="1"/>
      <c r="U844" s="1"/>
      <c r="V844" s="1"/>
      <c r="W844" s="1"/>
      <c r="X844" s="1"/>
      <c r="Y844" s="1"/>
      <c r="Z844" s="1"/>
      <c r="AB844" s="1"/>
      <c r="AC844" s="558"/>
      <c r="AD844" s="558"/>
      <c r="AE844" s="1"/>
      <c r="AF844" s="1"/>
      <c r="AG844" s="1"/>
      <c r="AH844" s="559"/>
      <c r="AI844" s="1"/>
      <c r="AJ844" s="1"/>
      <c r="AK844" s="1"/>
      <c r="AL844" s="1"/>
      <c r="AM844" s="1"/>
      <c r="AN844" s="1"/>
      <c r="AO844" s="1"/>
      <c r="AP844" s="1"/>
    </row>
    <row r="845" spans="17:42" ht="62.25" customHeight="1">
      <c r="Q845" s="1"/>
      <c r="R845" s="1"/>
      <c r="S845" s="1"/>
      <c r="T845" s="1"/>
      <c r="U845" s="1"/>
      <c r="V845" s="1"/>
      <c r="W845" s="1"/>
      <c r="X845" s="1"/>
      <c r="Y845" s="1"/>
      <c r="Z845" s="1"/>
      <c r="AB845" s="1"/>
      <c r="AC845" s="558"/>
      <c r="AD845" s="558"/>
      <c r="AE845" s="1"/>
      <c r="AF845" s="1"/>
      <c r="AG845" s="1"/>
      <c r="AH845" s="559"/>
      <c r="AI845" s="1"/>
      <c r="AJ845" s="1"/>
      <c r="AK845" s="1"/>
      <c r="AL845" s="1"/>
      <c r="AM845" s="1"/>
      <c r="AN845" s="1"/>
      <c r="AO845" s="1"/>
      <c r="AP845" s="1"/>
    </row>
    <row r="846" spans="17:42" ht="62.25" customHeight="1">
      <c r="Q846" s="1"/>
      <c r="R846" s="1"/>
      <c r="S846" s="1"/>
      <c r="T846" s="1"/>
      <c r="U846" s="1"/>
      <c r="V846" s="1"/>
      <c r="W846" s="1"/>
      <c r="X846" s="1"/>
      <c r="Y846" s="1"/>
      <c r="Z846" s="1"/>
      <c r="AB846" s="1"/>
      <c r="AC846" s="558"/>
      <c r="AD846" s="558"/>
      <c r="AE846" s="1"/>
      <c r="AF846" s="1"/>
      <c r="AG846" s="1"/>
      <c r="AH846" s="559"/>
      <c r="AI846" s="1"/>
      <c r="AJ846" s="1"/>
      <c r="AK846" s="1"/>
      <c r="AL846" s="1"/>
      <c r="AM846" s="1"/>
      <c r="AN846" s="1"/>
      <c r="AO846" s="1"/>
      <c r="AP846" s="1"/>
    </row>
    <row r="847" spans="17:42" ht="62.25" customHeight="1">
      <c r="Q847" s="1"/>
      <c r="R847" s="1"/>
      <c r="S847" s="1"/>
      <c r="T847" s="1"/>
      <c r="U847" s="1"/>
      <c r="V847" s="1"/>
      <c r="W847" s="1"/>
      <c r="X847" s="1"/>
      <c r="Y847" s="1"/>
      <c r="Z847" s="1"/>
      <c r="AB847" s="1"/>
      <c r="AC847" s="558"/>
      <c r="AD847" s="558"/>
      <c r="AE847" s="1"/>
      <c r="AF847" s="1"/>
      <c r="AG847" s="1"/>
      <c r="AH847" s="559"/>
      <c r="AI847" s="1"/>
      <c r="AJ847" s="1"/>
      <c r="AK847" s="1"/>
      <c r="AL847" s="1"/>
      <c r="AM847" s="1"/>
      <c r="AN847" s="1"/>
      <c r="AO847" s="1"/>
      <c r="AP847" s="1"/>
    </row>
    <row r="848" spans="17:42" ht="62.25" customHeight="1">
      <c r="Q848" s="1"/>
      <c r="R848" s="1"/>
      <c r="S848" s="1"/>
      <c r="T848" s="1"/>
      <c r="U848" s="1"/>
      <c r="V848" s="1"/>
      <c r="W848" s="1"/>
      <c r="X848" s="1"/>
      <c r="Y848" s="1"/>
      <c r="Z848" s="1"/>
      <c r="AB848" s="1"/>
      <c r="AC848" s="558"/>
      <c r="AD848" s="558"/>
      <c r="AE848" s="1"/>
      <c r="AF848" s="1"/>
      <c r="AG848" s="1"/>
      <c r="AH848" s="559"/>
      <c r="AI848" s="1"/>
      <c r="AJ848" s="1"/>
      <c r="AK848" s="1"/>
      <c r="AL848" s="1"/>
      <c r="AM848" s="1"/>
      <c r="AN848" s="1"/>
      <c r="AO848" s="1"/>
      <c r="AP848" s="1"/>
    </row>
    <row r="849" spans="17:42" ht="62.25" customHeight="1">
      <c r="Q849" s="1"/>
      <c r="R849" s="1"/>
      <c r="S849" s="1"/>
      <c r="T849" s="1"/>
      <c r="U849" s="1"/>
      <c r="V849" s="1"/>
      <c r="W849" s="1"/>
      <c r="X849" s="1"/>
      <c r="Y849" s="1"/>
      <c r="Z849" s="1"/>
      <c r="AB849" s="1"/>
      <c r="AC849" s="558"/>
      <c r="AD849" s="558"/>
      <c r="AE849" s="1"/>
      <c r="AF849" s="1"/>
      <c r="AG849" s="1"/>
      <c r="AH849" s="559"/>
      <c r="AI849" s="1"/>
      <c r="AJ849" s="1"/>
      <c r="AK849" s="1"/>
      <c r="AL849" s="1"/>
      <c r="AM849" s="1"/>
      <c r="AN849" s="1"/>
      <c r="AO849" s="1"/>
      <c r="AP849" s="1"/>
    </row>
    <row r="850" spans="17:42" ht="62.25" customHeight="1">
      <c r="Q850" s="1"/>
      <c r="R850" s="1"/>
      <c r="S850" s="1"/>
      <c r="T850" s="1"/>
      <c r="U850" s="1"/>
      <c r="V850" s="1"/>
      <c r="W850" s="1"/>
      <c r="X850" s="1"/>
      <c r="Y850" s="1"/>
      <c r="Z850" s="1"/>
      <c r="AB850" s="1"/>
      <c r="AC850" s="558"/>
      <c r="AD850" s="558"/>
      <c r="AE850" s="1"/>
      <c r="AF850" s="1"/>
      <c r="AG850" s="1"/>
      <c r="AH850" s="559"/>
      <c r="AI850" s="1"/>
      <c r="AJ850" s="1"/>
      <c r="AK850" s="1"/>
      <c r="AL850" s="1"/>
      <c r="AM850" s="1"/>
      <c r="AN850" s="1"/>
      <c r="AO850" s="1"/>
      <c r="AP850" s="1"/>
    </row>
    <row r="851" spans="17:42" ht="62.25" customHeight="1">
      <c r="Q851" s="1"/>
      <c r="R851" s="1"/>
      <c r="S851" s="1"/>
      <c r="T851" s="1"/>
      <c r="U851" s="1"/>
      <c r="V851" s="1"/>
      <c r="W851" s="1"/>
      <c r="X851" s="1"/>
      <c r="Y851" s="1"/>
      <c r="Z851" s="1"/>
      <c r="AB851" s="1"/>
      <c r="AC851" s="558"/>
      <c r="AD851" s="558"/>
      <c r="AE851" s="1"/>
      <c r="AF851" s="1"/>
      <c r="AG851" s="1"/>
      <c r="AH851" s="559"/>
      <c r="AI851" s="1"/>
      <c r="AJ851" s="1"/>
      <c r="AK851" s="1"/>
      <c r="AL851" s="1"/>
      <c r="AM851" s="1"/>
      <c r="AN851" s="1"/>
      <c r="AO851" s="1"/>
      <c r="AP851" s="1"/>
    </row>
    <row r="852" spans="17:42" ht="62.25" customHeight="1">
      <c r="Q852" s="1"/>
      <c r="R852" s="1"/>
      <c r="S852" s="1"/>
      <c r="T852" s="1"/>
      <c r="U852" s="1"/>
      <c r="V852" s="1"/>
      <c r="W852" s="1"/>
      <c r="X852" s="1"/>
      <c r="Y852" s="1"/>
      <c r="Z852" s="1"/>
      <c r="AB852" s="1"/>
      <c r="AC852" s="558"/>
      <c r="AD852" s="558"/>
      <c r="AE852" s="1"/>
      <c r="AF852" s="1"/>
      <c r="AG852" s="1"/>
      <c r="AH852" s="559"/>
      <c r="AI852" s="1"/>
      <c r="AJ852" s="1"/>
      <c r="AK852" s="1"/>
      <c r="AL852" s="1"/>
      <c r="AM852" s="1"/>
      <c r="AN852" s="1"/>
      <c r="AO852" s="1"/>
      <c r="AP852" s="1"/>
    </row>
    <row r="853" spans="17:42" ht="62.25" customHeight="1">
      <c r="Q853" s="1"/>
      <c r="R853" s="1"/>
      <c r="S853" s="1"/>
      <c r="T853" s="1"/>
      <c r="U853" s="1"/>
      <c r="V853" s="1"/>
      <c r="W853" s="1"/>
      <c r="X853" s="1"/>
      <c r="Y853" s="1"/>
      <c r="Z853" s="1"/>
      <c r="AB853" s="1"/>
      <c r="AC853" s="558"/>
      <c r="AD853" s="558"/>
      <c r="AE853" s="1"/>
      <c r="AF853" s="1"/>
      <c r="AG853" s="1"/>
      <c r="AH853" s="559"/>
      <c r="AI853" s="1"/>
      <c r="AJ853" s="1"/>
      <c r="AK853" s="1"/>
      <c r="AL853" s="1"/>
      <c r="AM853" s="1"/>
      <c r="AN853" s="1"/>
      <c r="AO853" s="1"/>
      <c r="AP853" s="1"/>
    </row>
    <row r="854" spans="17:42" ht="62.25" customHeight="1">
      <c r="Q854" s="1"/>
      <c r="R854" s="1"/>
      <c r="S854" s="1"/>
      <c r="T854" s="1"/>
      <c r="U854" s="1"/>
      <c r="V854" s="1"/>
      <c r="W854" s="1"/>
      <c r="X854" s="1"/>
      <c r="Y854" s="1"/>
      <c r="Z854" s="1"/>
      <c r="AB854" s="1"/>
      <c r="AC854" s="558"/>
      <c r="AD854" s="558"/>
      <c r="AE854" s="1"/>
      <c r="AF854" s="1"/>
      <c r="AG854" s="1"/>
      <c r="AH854" s="559"/>
      <c r="AI854" s="1"/>
      <c r="AJ854" s="1"/>
      <c r="AK854" s="1"/>
      <c r="AL854" s="1"/>
      <c r="AM854" s="1"/>
      <c r="AN854" s="1"/>
      <c r="AO854" s="1"/>
      <c r="AP854" s="1"/>
    </row>
    <row r="855" spans="17:42" ht="62.25" customHeight="1">
      <c r="Q855" s="1"/>
      <c r="R855" s="1"/>
      <c r="S855" s="1"/>
      <c r="T855" s="1"/>
      <c r="U855" s="1"/>
      <c r="V855" s="1"/>
      <c r="W855" s="1"/>
      <c r="X855" s="1"/>
      <c r="Y855" s="1"/>
      <c r="Z855" s="1"/>
      <c r="AB855" s="1"/>
      <c r="AC855" s="558"/>
      <c r="AD855" s="558"/>
      <c r="AE855" s="1"/>
      <c r="AF855" s="1"/>
      <c r="AG855" s="1"/>
      <c r="AH855" s="559"/>
      <c r="AI855" s="1"/>
      <c r="AJ855" s="1"/>
      <c r="AK855" s="1"/>
      <c r="AL855" s="1"/>
      <c r="AM855" s="1"/>
      <c r="AN855" s="1"/>
      <c r="AO855" s="1"/>
      <c r="AP855" s="1"/>
    </row>
    <row r="856" spans="17:42" ht="62.25" customHeight="1">
      <c r="Q856" s="1"/>
      <c r="R856" s="1"/>
      <c r="S856" s="1"/>
      <c r="T856" s="1"/>
      <c r="U856" s="1"/>
      <c r="V856" s="1"/>
      <c r="W856" s="1"/>
      <c r="X856" s="1"/>
      <c r="Y856" s="1"/>
      <c r="Z856" s="1"/>
      <c r="AB856" s="1"/>
      <c r="AC856" s="558"/>
      <c r="AD856" s="558"/>
      <c r="AE856" s="1"/>
      <c r="AF856" s="1"/>
      <c r="AG856" s="1"/>
      <c r="AH856" s="559"/>
      <c r="AI856" s="1"/>
      <c r="AJ856" s="1"/>
      <c r="AK856" s="1"/>
      <c r="AL856" s="1"/>
      <c r="AM856" s="1"/>
      <c r="AN856" s="1"/>
      <c r="AO856" s="1"/>
      <c r="AP856" s="1"/>
    </row>
    <row r="857" spans="17:42" ht="62.25" customHeight="1">
      <c r="Q857" s="1"/>
      <c r="R857" s="1"/>
      <c r="S857" s="1"/>
      <c r="T857" s="1"/>
      <c r="U857" s="1"/>
      <c r="V857" s="1"/>
      <c r="W857" s="1"/>
      <c r="X857" s="1"/>
      <c r="Y857" s="1"/>
      <c r="Z857" s="1"/>
      <c r="AB857" s="1"/>
      <c r="AC857" s="558"/>
      <c r="AD857" s="558"/>
      <c r="AE857" s="1"/>
      <c r="AF857" s="1"/>
      <c r="AG857" s="1"/>
      <c r="AH857" s="559"/>
      <c r="AI857" s="1"/>
      <c r="AJ857" s="1"/>
      <c r="AK857" s="1"/>
      <c r="AL857" s="1"/>
      <c r="AM857" s="1"/>
      <c r="AN857" s="1"/>
      <c r="AO857" s="1"/>
      <c r="AP857" s="1"/>
    </row>
    <row r="858" spans="17:42" ht="62.25" customHeight="1">
      <c r="Q858" s="1"/>
      <c r="R858" s="1"/>
      <c r="S858" s="1"/>
      <c r="T858" s="1"/>
      <c r="U858" s="1"/>
      <c r="V858" s="1"/>
      <c r="W858" s="1"/>
      <c r="X858" s="1"/>
      <c r="Y858" s="1"/>
      <c r="Z858" s="1"/>
      <c r="AB858" s="1"/>
      <c r="AC858" s="558"/>
      <c r="AD858" s="558"/>
      <c r="AE858" s="1"/>
      <c r="AF858" s="1"/>
      <c r="AG858" s="1"/>
      <c r="AH858" s="559"/>
      <c r="AI858" s="1"/>
      <c r="AJ858" s="1"/>
      <c r="AK858" s="1"/>
      <c r="AL858" s="1"/>
      <c r="AM858" s="1"/>
      <c r="AN858" s="1"/>
      <c r="AO858" s="1"/>
      <c r="AP858" s="1"/>
    </row>
    <row r="859" spans="17:42" ht="62.25" customHeight="1">
      <c r="Q859" s="1"/>
      <c r="R859" s="1"/>
      <c r="S859" s="1"/>
      <c r="T859" s="1"/>
      <c r="U859" s="1"/>
      <c r="V859" s="1"/>
      <c r="W859" s="1"/>
      <c r="X859" s="1"/>
      <c r="Y859" s="1"/>
      <c r="Z859" s="1"/>
      <c r="AB859" s="1"/>
      <c r="AC859" s="558"/>
      <c r="AD859" s="558"/>
      <c r="AE859" s="1"/>
      <c r="AF859" s="1"/>
      <c r="AG859" s="1"/>
      <c r="AH859" s="559"/>
      <c r="AI859" s="1"/>
      <c r="AJ859" s="1"/>
      <c r="AK859" s="1"/>
      <c r="AL859" s="1"/>
      <c r="AM859" s="1"/>
      <c r="AN859" s="1"/>
      <c r="AO859" s="1"/>
      <c r="AP859" s="1"/>
    </row>
    <row r="860" spans="17:42" ht="62.25" customHeight="1">
      <c r="Q860" s="1"/>
      <c r="R860" s="1"/>
      <c r="S860" s="1"/>
      <c r="T860" s="1"/>
      <c r="U860" s="1"/>
      <c r="V860" s="1"/>
      <c r="W860" s="1"/>
      <c r="X860" s="1"/>
      <c r="Y860" s="1"/>
      <c r="Z860" s="1"/>
      <c r="AB860" s="1"/>
      <c r="AC860" s="558"/>
      <c r="AD860" s="558"/>
      <c r="AE860" s="1"/>
      <c r="AF860" s="1"/>
      <c r="AG860" s="1"/>
      <c r="AH860" s="559"/>
      <c r="AI860" s="1"/>
      <c r="AJ860" s="1"/>
      <c r="AK860" s="1"/>
      <c r="AL860" s="1"/>
      <c r="AM860" s="1"/>
      <c r="AN860" s="1"/>
      <c r="AO860" s="1"/>
      <c r="AP860" s="1"/>
    </row>
    <row r="861" spans="17:42" ht="62.25" customHeight="1">
      <c r="Q861" s="1"/>
      <c r="R861" s="1"/>
      <c r="S861" s="1"/>
      <c r="T861" s="1"/>
      <c r="U861" s="1"/>
      <c r="V861" s="1"/>
      <c r="W861" s="1"/>
      <c r="X861" s="1"/>
      <c r="Y861" s="1"/>
      <c r="Z861" s="1"/>
      <c r="AB861" s="1"/>
      <c r="AC861" s="558"/>
      <c r="AD861" s="558"/>
      <c r="AE861" s="1"/>
      <c r="AF861" s="1"/>
      <c r="AG861" s="1"/>
      <c r="AH861" s="559"/>
      <c r="AI861" s="1"/>
      <c r="AJ861" s="1"/>
      <c r="AK861" s="1"/>
      <c r="AL861" s="1"/>
      <c r="AM861" s="1"/>
      <c r="AN861" s="1"/>
      <c r="AO861" s="1"/>
      <c r="AP861" s="1"/>
    </row>
    <row r="862" spans="17:42" ht="62.25" customHeight="1">
      <c r="Q862" s="1"/>
      <c r="R862" s="1"/>
      <c r="S862" s="1"/>
      <c r="T862" s="1"/>
      <c r="U862" s="1"/>
      <c r="V862" s="1"/>
      <c r="W862" s="1"/>
      <c r="X862" s="1"/>
      <c r="Y862" s="1"/>
      <c r="Z862" s="1"/>
      <c r="AB862" s="1"/>
      <c r="AC862" s="558"/>
      <c r="AD862" s="558"/>
      <c r="AE862" s="1"/>
      <c r="AF862" s="1"/>
      <c r="AG862" s="1"/>
      <c r="AH862" s="559"/>
      <c r="AI862" s="1"/>
      <c r="AJ862" s="1"/>
      <c r="AK862" s="1"/>
      <c r="AL862" s="1"/>
      <c r="AM862" s="1"/>
      <c r="AN862" s="1"/>
      <c r="AO862" s="1"/>
      <c r="AP862" s="1"/>
    </row>
    <row r="863" spans="17:42" ht="62.25" customHeight="1">
      <c r="Q863" s="1"/>
      <c r="R863" s="1"/>
      <c r="S863" s="1"/>
      <c r="T863" s="1"/>
      <c r="U863" s="1"/>
      <c r="V863" s="1"/>
      <c r="W863" s="1"/>
      <c r="X863" s="1"/>
      <c r="Y863" s="1"/>
      <c r="Z863" s="1"/>
      <c r="AB863" s="1"/>
      <c r="AC863" s="558"/>
      <c r="AD863" s="558"/>
      <c r="AE863" s="1"/>
      <c r="AF863" s="1"/>
      <c r="AG863" s="1"/>
      <c r="AH863" s="559"/>
      <c r="AI863" s="1"/>
      <c r="AJ863" s="1"/>
      <c r="AK863" s="1"/>
      <c r="AL863" s="1"/>
      <c r="AM863" s="1"/>
      <c r="AN863" s="1"/>
      <c r="AO863" s="1"/>
      <c r="AP863" s="1"/>
    </row>
    <row r="864" spans="17:42" ht="62.25" customHeight="1">
      <c r="Q864" s="1"/>
      <c r="R864" s="1"/>
      <c r="S864" s="1"/>
      <c r="T864" s="1"/>
      <c r="U864" s="1"/>
      <c r="V864" s="1"/>
      <c r="W864" s="1"/>
      <c r="X864" s="1"/>
      <c r="Y864" s="1"/>
      <c r="Z864" s="1"/>
      <c r="AB864" s="1"/>
      <c r="AC864" s="558"/>
      <c r="AD864" s="558"/>
      <c r="AE864" s="1"/>
      <c r="AF864" s="1"/>
      <c r="AG864" s="1"/>
      <c r="AH864" s="559"/>
      <c r="AI864" s="1"/>
      <c r="AJ864" s="1"/>
      <c r="AK864" s="1"/>
      <c r="AL864" s="1"/>
      <c r="AM864" s="1"/>
      <c r="AN864" s="1"/>
      <c r="AO864" s="1"/>
      <c r="AP864" s="1"/>
    </row>
    <row r="865" spans="17:42" ht="62.25" customHeight="1">
      <c r="Q865" s="1"/>
      <c r="R865" s="1"/>
      <c r="S865" s="1"/>
      <c r="T865" s="1"/>
      <c r="U865" s="1"/>
      <c r="V865" s="1"/>
      <c r="W865" s="1"/>
      <c r="X865" s="1"/>
      <c r="Y865" s="1"/>
      <c r="Z865" s="1"/>
      <c r="AB865" s="1"/>
      <c r="AC865" s="558"/>
      <c r="AD865" s="558"/>
      <c r="AE865" s="1"/>
      <c r="AF865" s="1"/>
      <c r="AG865" s="1"/>
      <c r="AH865" s="559"/>
      <c r="AI865" s="1"/>
      <c r="AJ865" s="1"/>
      <c r="AK865" s="1"/>
      <c r="AL865" s="1"/>
      <c r="AM865" s="1"/>
      <c r="AN865" s="1"/>
      <c r="AO865" s="1"/>
      <c r="AP865" s="1"/>
    </row>
    <row r="866" spans="17:42" ht="62.25" customHeight="1">
      <c r="Q866" s="1"/>
      <c r="R866" s="1"/>
      <c r="S866" s="1"/>
      <c r="T866" s="1"/>
      <c r="U866" s="1"/>
      <c r="V866" s="1"/>
      <c r="W866" s="1"/>
      <c r="X866" s="1"/>
      <c r="Y866" s="1"/>
      <c r="Z866" s="1"/>
      <c r="AB866" s="1"/>
      <c r="AC866" s="558"/>
      <c r="AD866" s="558"/>
      <c r="AE866" s="1"/>
      <c r="AF866" s="1"/>
      <c r="AG866" s="1"/>
      <c r="AH866" s="559"/>
      <c r="AI866" s="1"/>
      <c r="AJ866" s="1"/>
      <c r="AK866" s="1"/>
      <c r="AL866" s="1"/>
      <c r="AM866" s="1"/>
      <c r="AN866" s="1"/>
      <c r="AO866" s="1"/>
      <c r="AP866" s="1"/>
    </row>
    <row r="867" spans="17:42" ht="62.25" customHeight="1">
      <c r="Q867" s="1"/>
      <c r="R867" s="1"/>
      <c r="S867" s="1"/>
      <c r="T867" s="1"/>
      <c r="U867" s="1"/>
      <c r="V867" s="1"/>
      <c r="W867" s="1"/>
      <c r="X867" s="1"/>
      <c r="Y867" s="1"/>
      <c r="Z867" s="1"/>
      <c r="AB867" s="1"/>
      <c r="AC867" s="558"/>
      <c r="AD867" s="558"/>
      <c r="AE867" s="1"/>
      <c r="AF867" s="1"/>
      <c r="AG867" s="1"/>
      <c r="AH867" s="559"/>
      <c r="AI867" s="1"/>
      <c r="AJ867" s="1"/>
      <c r="AK867" s="1"/>
      <c r="AL867" s="1"/>
      <c r="AM867" s="1"/>
      <c r="AN867" s="1"/>
      <c r="AO867" s="1"/>
      <c r="AP867" s="1"/>
    </row>
    <row r="868" spans="17:42" ht="62.25" customHeight="1">
      <c r="Q868" s="1"/>
      <c r="R868" s="1"/>
      <c r="S868" s="1"/>
      <c r="T868" s="1"/>
      <c r="U868" s="1"/>
      <c r="V868" s="1"/>
      <c r="W868" s="1"/>
      <c r="X868" s="1"/>
      <c r="Y868" s="1"/>
      <c r="Z868" s="1"/>
      <c r="AB868" s="1"/>
      <c r="AC868" s="558"/>
      <c r="AD868" s="558"/>
      <c r="AE868" s="1"/>
      <c r="AF868" s="1"/>
      <c r="AG868" s="1"/>
      <c r="AH868" s="559"/>
      <c r="AI868" s="1"/>
      <c r="AJ868" s="1"/>
      <c r="AK868" s="1"/>
      <c r="AL868" s="1"/>
      <c r="AM868" s="1"/>
      <c r="AN868" s="1"/>
      <c r="AO868" s="1"/>
      <c r="AP868" s="1"/>
    </row>
    <row r="869" spans="17:42" ht="62.25" customHeight="1">
      <c r="Q869" s="1"/>
      <c r="R869" s="1"/>
      <c r="S869" s="1"/>
      <c r="T869" s="1"/>
      <c r="U869" s="1"/>
      <c r="V869" s="1"/>
      <c r="W869" s="1"/>
      <c r="X869" s="1"/>
      <c r="Y869" s="1"/>
      <c r="Z869" s="1"/>
      <c r="AB869" s="1"/>
      <c r="AC869" s="558"/>
      <c r="AD869" s="558"/>
      <c r="AE869" s="1"/>
      <c r="AF869" s="1"/>
      <c r="AG869" s="1"/>
      <c r="AH869" s="559"/>
      <c r="AI869" s="1"/>
      <c r="AJ869" s="1"/>
      <c r="AK869" s="1"/>
      <c r="AL869" s="1"/>
      <c r="AM869" s="1"/>
      <c r="AN869" s="1"/>
      <c r="AO869" s="1"/>
      <c r="AP869" s="1"/>
    </row>
    <row r="870" spans="17:42" ht="62.25" customHeight="1">
      <c r="Q870" s="1"/>
      <c r="R870" s="1"/>
      <c r="S870" s="1"/>
      <c r="T870" s="1"/>
      <c r="U870" s="1"/>
      <c r="V870" s="1"/>
      <c r="W870" s="1"/>
      <c r="X870" s="1"/>
      <c r="Y870" s="1"/>
      <c r="Z870" s="1"/>
      <c r="AB870" s="1"/>
      <c r="AC870" s="558"/>
      <c r="AD870" s="558"/>
      <c r="AE870" s="1"/>
      <c r="AF870" s="1"/>
      <c r="AG870" s="1"/>
      <c r="AH870" s="559"/>
      <c r="AI870" s="1"/>
      <c r="AJ870" s="1"/>
      <c r="AK870" s="1"/>
      <c r="AL870" s="1"/>
      <c r="AM870" s="1"/>
      <c r="AN870" s="1"/>
      <c r="AO870" s="1"/>
      <c r="AP870" s="1"/>
    </row>
    <row r="871" spans="17:42" ht="62.25" customHeight="1">
      <c r="Q871" s="1"/>
      <c r="R871" s="1"/>
      <c r="S871" s="1"/>
      <c r="T871" s="1"/>
      <c r="U871" s="1"/>
      <c r="V871" s="1"/>
      <c r="W871" s="1"/>
      <c r="X871" s="1"/>
      <c r="Y871" s="1"/>
      <c r="Z871" s="1"/>
      <c r="AB871" s="1"/>
      <c r="AC871" s="558"/>
      <c r="AD871" s="558"/>
      <c r="AE871" s="1"/>
      <c r="AF871" s="1"/>
      <c r="AG871" s="1"/>
      <c r="AH871" s="559"/>
      <c r="AI871" s="1"/>
      <c r="AJ871" s="1"/>
      <c r="AK871" s="1"/>
      <c r="AL871" s="1"/>
      <c r="AM871" s="1"/>
      <c r="AN871" s="1"/>
      <c r="AO871" s="1"/>
      <c r="AP871" s="1"/>
    </row>
    <row r="872" spans="17:42" ht="62.25" customHeight="1">
      <c r="Q872" s="1"/>
      <c r="R872" s="1"/>
      <c r="S872" s="1"/>
      <c r="T872" s="1"/>
      <c r="U872" s="1"/>
      <c r="V872" s="1"/>
      <c r="W872" s="1"/>
      <c r="X872" s="1"/>
      <c r="Y872" s="1"/>
      <c r="Z872" s="1"/>
      <c r="AB872" s="1"/>
      <c r="AC872" s="558"/>
      <c r="AD872" s="558"/>
      <c r="AE872" s="1"/>
      <c r="AF872" s="1"/>
      <c r="AG872" s="1"/>
      <c r="AH872" s="559"/>
      <c r="AI872" s="1"/>
      <c r="AJ872" s="1"/>
      <c r="AK872" s="1"/>
      <c r="AL872" s="1"/>
      <c r="AM872" s="1"/>
      <c r="AN872" s="1"/>
      <c r="AO872" s="1"/>
      <c r="AP872" s="1"/>
    </row>
    <row r="873" spans="17:42" ht="62.25" customHeight="1">
      <c r="Q873" s="1"/>
      <c r="R873" s="1"/>
      <c r="S873" s="1"/>
      <c r="T873" s="1"/>
      <c r="U873" s="1"/>
      <c r="V873" s="1"/>
      <c r="W873" s="1"/>
      <c r="X873" s="1"/>
      <c r="Y873" s="1"/>
      <c r="Z873" s="1"/>
      <c r="AB873" s="1"/>
      <c r="AC873" s="558"/>
      <c r="AD873" s="558"/>
      <c r="AE873" s="1"/>
      <c r="AF873" s="1"/>
      <c r="AG873" s="1"/>
      <c r="AH873" s="559"/>
      <c r="AI873" s="1"/>
      <c r="AJ873" s="1"/>
      <c r="AK873" s="1"/>
      <c r="AL873" s="1"/>
      <c r="AM873" s="1"/>
      <c r="AN873" s="1"/>
      <c r="AO873" s="1"/>
      <c r="AP873" s="1"/>
    </row>
    <row r="874" spans="17:42" ht="62.25" customHeight="1">
      <c r="Q874" s="1"/>
      <c r="R874" s="1"/>
      <c r="S874" s="1"/>
      <c r="T874" s="1"/>
      <c r="U874" s="1"/>
      <c r="V874" s="1"/>
      <c r="W874" s="1"/>
      <c r="X874" s="1"/>
      <c r="Y874" s="1"/>
      <c r="Z874" s="1"/>
      <c r="AB874" s="1"/>
      <c r="AC874" s="558"/>
      <c r="AD874" s="558"/>
      <c r="AE874" s="1"/>
      <c r="AF874" s="1"/>
      <c r="AG874" s="1"/>
      <c r="AH874" s="559"/>
      <c r="AI874" s="1"/>
      <c r="AJ874" s="1"/>
      <c r="AK874" s="1"/>
      <c r="AL874" s="1"/>
      <c r="AM874" s="1"/>
      <c r="AN874" s="1"/>
      <c r="AO874" s="1"/>
      <c r="AP874" s="1"/>
    </row>
    <row r="875" spans="17:42" ht="62.25" customHeight="1">
      <c r="Q875" s="1"/>
      <c r="R875" s="1"/>
      <c r="S875" s="1"/>
      <c r="T875" s="1"/>
      <c r="U875" s="1"/>
      <c r="V875" s="1"/>
      <c r="W875" s="1"/>
      <c r="X875" s="1"/>
      <c r="Y875" s="1"/>
      <c r="Z875" s="1"/>
      <c r="AB875" s="1"/>
      <c r="AC875" s="558"/>
      <c r="AD875" s="558"/>
      <c r="AE875" s="1"/>
      <c r="AF875" s="1"/>
      <c r="AG875" s="1"/>
      <c r="AH875" s="559"/>
      <c r="AI875" s="1"/>
      <c r="AJ875" s="1"/>
      <c r="AK875" s="1"/>
      <c r="AL875" s="1"/>
      <c r="AM875" s="1"/>
      <c r="AN875" s="1"/>
      <c r="AO875" s="1"/>
      <c r="AP875" s="1"/>
    </row>
    <row r="876" spans="17:42" ht="62.25" customHeight="1">
      <c r="Q876" s="1"/>
      <c r="R876" s="1"/>
      <c r="S876" s="1"/>
      <c r="T876" s="1"/>
      <c r="U876" s="1"/>
      <c r="V876" s="1"/>
      <c r="W876" s="1"/>
      <c r="X876" s="1"/>
      <c r="Y876" s="1"/>
      <c r="Z876" s="1"/>
      <c r="AB876" s="1"/>
      <c r="AC876" s="558"/>
      <c r="AD876" s="558"/>
      <c r="AE876" s="1"/>
      <c r="AF876" s="1"/>
      <c r="AG876" s="1"/>
      <c r="AH876" s="559"/>
      <c r="AI876" s="1"/>
      <c r="AJ876" s="1"/>
      <c r="AK876" s="1"/>
      <c r="AL876" s="1"/>
      <c r="AM876" s="1"/>
      <c r="AN876" s="1"/>
      <c r="AO876" s="1"/>
      <c r="AP876" s="1"/>
    </row>
    <row r="877" spans="17:42" ht="62.25" customHeight="1">
      <c r="Q877" s="1"/>
      <c r="R877" s="1"/>
      <c r="S877" s="1"/>
      <c r="T877" s="1"/>
      <c r="U877" s="1"/>
      <c r="V877" s="1"/>
      <c r="W877" s="1"/>
      <c r="X877" s="1"/>
      <c r="Y877" s="1"/>
      <c r="Z877" s="1"/>
      <c r="AB877" s="1"/>
      <c r="AC877" s="558"/>
      <c r="AD877" s="558"/>
      <c r="AE877" s="1"/>
      <c r="AF877" s="1"/>
      <c r="AG877" s="1"/>
      <c r="AH877" s="559"/>
      <c r="AI877" s="1"/>
      <c r="AJ877" s="1"/>
      <c r="AK877" s="1"/>
      <c r="AL877" s="1"/>
      <c r="AM877" s="1"/>
      <c r="AN877" s="1"/>
      <c r="AO877" s="1"/>
      <c r="AP877" s="1"/>
    </row>
    <row r="878" spans="17:42" ht="62.25" customHeight="1">
      <c r="Q878" s="1"/>
      <c r="R878" s="1"/>
      <c r="S878" s="1"/>
      <c r="T878" s="1"/>
      <c r="U878" s="1"/>
      <c r="V878" s="1"/>
      <c r="W878" s="1"/>
      <c r="X878" s="1"/>
      <c r="Y878" s="1"/>
      <c r="Z878" s="1"/>
      <c r="AB878" s="1"/>
      <c r="AC878" s="558"/>
      <c r="AD878" s="558"/>
      <c r="AE878" s="1"/>
      <c r="AF878" s="1"/>
      <c r="AG878" s="1"/>
      <c r="AH878" s="559"/>
      <c r="AI878" s="1"/>
      <c r="AJ878" s="1"/>
      <c r="AK878" s="1"/>
      <c r="AL878" s="1"/>
      <c r="AM878" s="1"/>
      <c r="AN878" s="1"/>
      <c r="AO878" s="1"/>
      <c r="AP878" s="1"/>
    </row>
    <row r="879" spans="17:42" ht="62.25" customHeight="1">
      <c r="Q879" s="1"/>
      <c r="R879" s="1"/>
      <c r="S879" s="1"/>
      <c r="T879" s="1"/>
      <c r="U879" s="1"/>
      <c r="V879" s="1"/>
      <c r="W879" s="1"/>
      <c r="X879" s="1"/>
      <c r="Y879" s="1"/>
      <c r="Z879" s="1"/>
      <c r="AB879" s="1"/>
      <c r="AC879" s="558"/>
      <c r="AD879" s="558"/>
      <c r="AE879" s="1"/>
      <c r="AF879" s="1"/>
      <c r="AG879" s="1"/>
      <c r="AH879" s="559"/>
      <c r="AI879" s="1"/>
      <c r="AJ879" s="1"/>
      <c r="AK879" s="1"/>
      <c r="AL879" s="1"/>
      <c r="AM879" s="1"/>
      <c r="AN879" s="1"/>
      <c r="AO879" s="1"/>
      <c r="AP879" s="1"/>
    </row>
    <row r="880" spans="17:42" ht="62.25" customHeight="1">
      <c r="AC880" s="519"/>
      <c r="AD880" s="519"/>
      <c r="AE880" s="498"/>
      <c r="AF880" s="498"/>
      <c r="AG880" s="498"/>
      <c r="AH880" s="521"/>
      <c r="AI880" s="498"/>
    </row>
  </sheetData>
  <protectedRanges>
    <protectedRange sqref="R4:AB29 R31:AB33 R51:AB52 R35:AB36 R38:AB49 R54:AB413 R420:AB432 R417:AB418 R415:AB415" name="input cells 2"/>
  </protectedRanges>
  <autoFilter ref="A1:AX432" xr:uid="{39E80B6F-9646-4B67-8F34-CE50FE9BD94C}"/>
  <phoneticPr fontId="69" type="noConversion"/>
  <conditionalFormatting sqref="AH3:AH404 AH1 AH406:AH413 AH415 AH417:AH418 AH420:AH1048576">
    <cfRule type="colorScale" priority="12">
      <colorScale>
        <cfvo type="min"/>
        <cfvo type="percentile" val="50"/>
        <cfvo type="max"/>
        <color rgb="FFFF0000"/>
        <color rgb="FFFFEB84"/>
        <color theme="9"/>
      </colorScale>
    </cfRule>
  </conditionalFormatting>
  <conditionalFormatting sqref="AD1:AD413 AD415 AD417:AD418 AD420:AD1048576">
    <cfRule type="colorScale" priority="11">
      <colorScale>
        <cfvo type="min"/>
        <cfvo type="percentile" val="50"/>
        <cfvo type="max"/>
        <color rgb="FFFF0000"/>
        <color rgb="FFFFEB84"/>
        <color theme="9"/>
      </colorScale>
    </cfRule>
  </conditionalFormatting>
  <conditionalFormatting sqref="AJ1:AL1 AK3:AL3 AJ3:AJ404 AJ406:AJ413 AJ415 AJ417:AJ418 AJ420:AJ1048576">
    <cfRule type="cellIs" dxfId="4" priority="6" operator="between">
      <formula>2026</formula>
      <formula>2027</formula>
    </cfRule>
    <cfRule type="cellIs" dxfId="3" priority="7" operator="between">
      <formula>2022</formula>
      <formula>2023</formula>
    </cfRule>
    <cfRule type="cellIs" dxfId="2" priority="8" operator="between">
      <formula>2024</formula>
      <formula>2025</formula>
    </cfRule>
  </conditionalFormatting>
  <conditionalFormatting sqref="AL1 AL4:AL404 AL406:AL413 AL415 AL417:AL418 AL420:AL1048576">
    <cfRule type="containsText" dxfId="1" priority="5" operator="containsText" text="Yes">
      <formula>NOT(ISERROR(SEARCH("Yes",AL1)))</formula>
    </cfRule>
  </conditionalFormatting>
  <conditionalFormatting sqref="AK4:AK404 AK406:AK413 AK415 AK417:AK418 AK420:AK432">
    <cfRule type="containsText" dxfId="0" priority="1" operator="containsText" text="yes">
      <formula>NOT(ISERROR(SEARCH("yes",AK4)))</formula>
    </cfRule>
  </conditionalFormatting>
  <dataValidations count="1">
    <dataValidation type="textLength" operator="lessThan" allowBlank="1" showInputMessage="1" showErrorMessage="1" sqref="P420:P432 AA1:AB29 P1:P29 P38:P49 AA38:AB49 AA31:AB33 P31:P33 P35:P36 AA35:AB36 AA51:AB52 P51:P52 AA417:AB418 AA420:AB432 P415 P417:P418 P54:P413 AA54:AB413 AA415:AB415" xr:uid="{90F68FE7-B966-4640-8816-C8EA681DBD03}">
      <formula1>256</formula1>
    </dataValidation>
  </dataValidations>
  <pageMargins left="0.7" right="0.7" top="0.75" bottom="0.75" header="0.3" footer="0.3"/>
  <pageSetup paperSize="9" orientation="portrait" horizontalDpi="4294967293" r:id="rId1"/>
  <extLst>
    <ext xmlns:x14="http://schemas.microsoft.com/office/spreadsheetml/2009/9/main" uri="{CCE6A557-97BC-4b89-ADB6-D9C93CAAB3DF}">
      <x14:dataValidations xmlns:xm="http://schemas.microsoft.com/office/excel/2006/main" count="3">
        <x14:dataValidation type="list" allowBlank="1" showInputMessage="1" showErrorMessage="1" xr:uid="{626EE984-B6B3-4EB9-8DB1-5A003DFF981A}">
          <x14:formula1>
            <xm:f>'Input sheet to hide '!$B$3:$B$5</xm:f>
          </x14:formula1>
          <xm:sqref>J54:J156 V3:V29 J4:J29 J38:J49 V38:V49 V31:V33 J31:J33 J35:J36 V35:V36 V51:V52 J51:J52 V420:V432 V417:V418 V54:V413 V415</xm:sqref>
        </x14:dataValidation>
        <x14:dataValidation type="list" allowBlank="1" showInputMessage="1" showErrorMessage="1" xr:uid="{20023BD6-CC89-4C0A-A61F-C78244A210EC}">
          <x14:formula1>
            <xm:f>'Input sheet to hide '!$C$3:$C$6</xm:f>
          </x14:formula1>
          <xm:sqref>M54:M156 X3:X29 M4:M29 M38:M49 X38:X49 X31:X33 M31:M33 M35:M36 X35:X36 X51:X52 M51:M52 X420:X432 X417:X418 X54:X413 X415</xm:sqref>
        </x14:dataValidation>
        <x14:dataValidation type="list" allowBlank="1" showInputMessage="1" showErrorMessage="1" xr:uid="{BC0D47DC-3F54-4191-9467-5DF4F46FAE76}">
          <x14:formula1>
            <xm:f>'CP Response Overview'!#REF!</xm:f>
          </x14:formula1>
          <xm:sqref>U3:U29 U38:U49 U31:U33 U35:U36 U51:U52 F3:F189 F432 F274:F297 F420:F421 F415:F418 F403:F413 F387:F399 F344:F385 F336:F341 F333:F334 F300:F331 F191:F235 F237:F272 U420:U432 U417:U418 U54:U413 U415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E57B2-86E6-4758-A3F7-94BFDADE8D60}">
  <sheetPr filterMode="1"/>
  <dimension ref="A1:AY597"/>
  <sheetViews>
    <sheetView zoomScale="55" zoomScaleNormal="55" workbookViewId="0">
      <selection activeCell="R323" sqref="R323"/>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157.5">
      <c r="A8" s="8" t="s">
        <v>53</v>
      </c>
      <c r="B8" s="29" t="s">
        <v>54</v>
      </c>
      <c r="C8" s="8" t="s">
        <v>55</v>
      </c>
      <c r="D8" s="8" t="s">
        <v>69</v>
      </c>
      <c r="E8" s="8" t="s">
        <v>70</v>
      </c>
      <c r="F8" s="8"/>
      <c r="G8" s="8" t="s">
        <v>71</v>
      </c>
      <c r="H8" s="8" t="s">
        <v>72</v>
      </c>
      <c r="I8" s="8" t="s">
        <v>73</v>
      </c>
      <c r="J8" s="8"/>
      <c r="K8" s="8"/>
      <c r="L8" s="8"/>
      <c r="M8" s="8"/>
      <c r="N8" s="8"/>
      <c r="O8" s="8"/>
      <c r="P8" s="60"/>
      <c r="R8" s="38" t="s">
        <v>1243</v>
      </c>
      <c r="S8" s="38" t="s">
        <v>1243</v>
      </c>
      <c r="T8" s="8" t="s">
        <v>1244</v>
      </c>
      <c r="U8" s="8" t="s">
        <v>1245</v>
      </c>
      <c r="V8" s="8" t="s">
        <v>1191</v>
      </c>
      <c r="W8" s="8" t="s">
        <v>1246</v>
      </c>
      <c r="X8" s="8" t="s">
        <v>10</v>
      </c>
      <c r="Y8" s="8" t="s">
        <v>1247</v>
      </c>
      <c r="Z8" s="8" t="s">
        <v>1248</v>
      </c>
      <c r="AA8" s="8"/>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189">
      <c r="A12" s="8" t="s">
        <v>53</v>
      </c>
      <c r="B12" s="29" t="s">
        <v>54</v>
      </c>
      <c r="C12" s="8" t="s">
        <v>81</v>
      </c>
      <c r="D12" s="8" t="s">
        <v>86</v>
      </c>
      <c r="E12" s="69" t="s">
        <v>87</v>
      </c>
      <c r="F12" s="8"/>
      <c r="G12" s="8" t="s">
        <v>62</v>
      </c>
      <c r="H12" s="8" t="s">
        <v>84</v>
      </c>
      <c r="I12" s="8" t="s">
        <v>85</v>
      </c>
      <c r="J12" s="8"/>
      <c r="K12" s="8"/>
      <c r="L12" s="8"/>
      <c r="M12" s="8"/>
      <c r="N12" s="8"/>
      <c r="O12" s="8"/>
      <c r="P12" s="60"/>
      <c r="R12" s="38" t="s">
        <v>1249</v>
      </c>
      <c r="S12" s="8" t="s">
        <v>1250</v>
      </c>
      <c r="T12" s="8" t="s">
        <v>1251</v>
      </c>
      <c r="U12" s="8" t="s">
        <v>1245</v>
      </c>
      <c r="V12" s="8" t="s">
        <v>1191</v>
      </c>
      <c r="W12" s="8" t="s">
        <v>1246</v>
      </c>
      <c r="X12" s="8" t="s">
        <v>10</v>
      </c>
      <c r="Y12" s="8" t="s">
        <v>1252</v>
      </c>
      <c r="Z12" s="8" t="s">
        <v>1253</v>
      </c>
      <c r="AA12" s="8" t="s">
        <v>1254</v>
      </c>
    </row>
    <row r="13" spans="1:27" ht="157.5">
      <c r="A13" s="8" t="s">
        <v>53</v>
      </c>
      <c r="B13" s="29" t="s">
        <v>54</v>
      </c>
      <c r="C13" s="8" t="s">
        <v>81</v>
      </c>
      <c r="D13" s="8" t="s">
        <v>88</v>
      </c>
      <c r="E13" s="69" t="s">
        <v>89</v>
      </c>
      <c r="F13" s="8"/>
      <c r="G13" s="8" t="s">
        <v>62</v>
      </c>
      <c r="H13" s="8" t="s">
        <v>84</v>
      </c>
      <c r="I13" s="8" t="s">
        <v>85</v>
      </c>
      <c r="J13" s="8"/>
      <c r="K13" s="8"/>
      <c r="L13" s="8"/>
      <c r="M13" s="8"/>
      <c r="N13" s="8"/>
      <c r="O13" s="8"/>
      <c r="P13" s="60"/>
      <c r="R13" s="38" t="s">
        <v>1249</v>
      </c>
      <c r="S13" s="8" t="s">
        <v>1250</v>
      </c>
      <c r="T13" s="8" t="s">
        <v>1251</v>
      </c>
      <c r="U13" s="8" t="s">
        <v>1245</v>
      </c>
      <c r="V13" s="8" t="s">
        <v>1191</v>
      </c>
      <c r="W13" s="8" t="s">
        <v>1246</v>
      </c>
      <c r="X13" s="8" t="s">
        <v>10</v>
      </c>
      <c r="Y13" s="8" t="s">
        <v>1255</v>
      </c>
      <c r="Z13" s="8" t="s">
        <v>1253</v>
      </c>
      <c r="AA13" s="8" t="s">
        <v>1254</v>
      </c>
    </row>
    <row r="14" spans="1:27" ht="157.5">
      <c r="A14" s="8" t="s">
        <v>53</v>
      </c>
      <c r="B14" s="29" t="s">
        <v>54</v>
      </c>
      <c r="C14" s="8" t="s">
        <v>81</v>
      </c>
      <c r="D14" s="8" t="s">
        <v>90</v>
      </c>
      <c r="E14" s="69" t="s">
        <v>91</v>
      </c>
      <c r="F14" s="8"/>
      <c r="G14" s="8" t="s">
        <v>62</v>
      </c>
      <c r="H14" s="8" t="s">
        <v>84</v>
      </c>
      <c r="I14" s="8" t="s">
        <v>85</v>
      </c>
      <c r="J14" s="8"/>
      <c r="K14" s="8"/>
      <c r="L14" s="8"/>
      <c r="M14" s="8"/>
      <c r="N14" s="8"/>
      <c r="O14" s="8"/>
      <c r="P14" s="60"/>
      <c r="R14" s="38" t="s">
        <v>1249</v>
      </c>
      <c r="S14" s="8" t="s">
        <v>1256</v>
      </c>
      <c r="T14" s="8" t="s">
        <v>1257</v>
      </c>
      <c r="U14" s="8" t="s">
        <v>1245</v>
      </c>
      <c r="V14" s="8" t="s">
        <v>1191</v>
      </c>
      <c r="W14" s="8" t="s">
        <v>1246</v>
      </c>
      <c r="X14" s="8" t="s">
        <v>10</v>
      </c>
      <c r="Y14" s="8" t="s">
        <v>1258</v>
      </c>
      <c r="Z14" s="8"/>
      <c r="AA14" s="8"/>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236.25">
      <c r="A16" s="8" t="s">
        <v>53</v>
      </c>
      <c r="B16" s="29" t="s">
        <v>54</v>
      </c>
      <c r="C16" s="8" t="s">
        <v>81</v>
      </c>
      <c r="D16" s="8" t="s">
        <v>94</v>
      </c>
      <c r="E16" s="69" t="s">
        <v>95</v>
      </c>
      <c r="F16" s="8"/>
      <c r="G16" s="8" t="s">
        <v>62</v>
      </c>
      <c r="H16" s="8" t="s">
        <v>84</v>
      </c>
      <c r="I16" s="8" t="s">
        <v>85</v>
      </c>
      <c r="J16" s="8"/>
      <c r="K16" s="8"/>
      <c r="L16" s="8"/>
      <c r="M16" s="8"/>
      <c r="N16" s="8"/>
      <c r="O16" s="8"/>
      <c r="P16" s="60"/>
      <c r="R16" s="38" t="s">
        <v>1249</v>
      </c>
      <c r="S16" s="8" t="s">
        <v>1250</v>
      </c>
      <c r="T16" s="8" t="s">
        <v>1259</v>
      </c>
      <c r="U16" s="8" t="s">
        <v>1245</v>
      </c>
      <c r="V16" s="8" t="s">
        <v>1191</v>
      </c>
      <c r="W16" s="8" t="s">
        <v>1246</v>
      </c>
      <c r="X16" s="8" t="s">
        <v>10</v>
      </c>
      <c r="Y16" s="8" t="s">
        <v>1260</v>
      </c>
      <c r="Z16" s="8"/>
      <c r="AA16" s="8" t="s">
        <v>1261</v>
      </c>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hidden="1" customHeight="1">
      <c r="A21" s="8" t="s">
        <v>53</v>
      </c>
      <c r="B21" s="29" t="s">
        <v>54</v>
      </c>
      <c r="C21" s="8" t="s">
        <v>81</v>
      </c>
      <c r="D21" s="8" t="s">
        <v>104</v>
      </c>
      <c r="E21" s="8" t="s">
        <v>105</v>
      </c>
      <c r="F21" s="8"/>
      <c r="G21" s="8" t="s">
        <v>62</v>
      </c>
      <c r="H21" s="8" t="s">
        <v>106</v>
      </c>
      <c r="I21" s="9">
        <v>1</v>
      </c>
      <c r="J21" s="9"/>
      <c r="K21" s="11"/>
      <c r="L21" s="9"/>
      <c r="M21" s="9"/>
      <c r="N21" s="9"/>
      <c r="O21" s="9"/>
      <c r="P21" s="60"/>
      <c r="Q21" s="47"/>
      <c r="R21" s="37"/>
      <c r="S21" s="9"/>
      <c r="T21" s="9"/>
      <c r="U21" s="9"/>
      <c r="V21" s="9"/>
      <c r="W21" s="9"/>
      <c r="X21" s="9"/>
      <c r="Y21" s="9"/>
      <c r="Z21" s="9"/>
      <c r="AA21" s="8"/>
    </row>
    <row r="22" spans="1:27" ht="65.25" customHeight="1">
      <c r="A22" s="8" t="s">
        <v>53</v>
      </c>
      <c r="B22" s="29" t="s">
        <v>54</v>
      </c>
      <c r="C22" s="8" t="s">
        <v>81</v>
      </c>
      <c r="D22" s="8" t="s">
        <v>107</v>
      </c>
      <c r="E22" s="8" t="s">
        <v>108</v>
      </c>
      <c r="F22" s="8"/>
      <c r="G22" s="8" t="s">
        <v>62</v>
      </c>
      <c r="H22" s="8" t="s">
        <v>109</v>
      </c>
      <c r="I22" s="14" t="s">
        <v>110</v>
      </c>
      <c r="J22" s="8"/>
      <c r="K22" s="8"/>
      <c r="L22" s="8"/>
      <c r="M22" s="8"/>
      <c r="N22" s="8"/>
      <c r="O22" s="8"/>
      <c r="P22" s="60"/>
      <c r="R22" s="38" t="s">
        <v>1262</v>
      </c>
      <c r="S22" s="8"/>
      <c r="T22" s="8" t="s">
        <v>1263</v>
      </c>
      <c r="U22" s="8" t="s">
        <v>1245</v>
      </c>
      <c r="V22" s="8" t="s">
        <v>8</v>
      </c>
      <c r="W22" s="8" t="s">
        <v>1264</v>
      </c>
      <c r="X22" s="8" t="s">
        <v>9</v>
      </c>
      <c r="Y22" s="8" t="s">
        <v>1265</v>
      </c>
      <c r="Z22" s="8"/>
      <c r="AA22" s="148" t="s">
        <v>1266</v>
      </c>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94.5">
      <c r="A31" s="8" t="s">
        <v>53</v>
      </c>
      <c r="B31" s="29" t="s">
        <v>54</v>
      </c>
      <c r="C31" s="8" t="s">
        <v>128</v>
      </c>
      <c r="D31" s="8" t="s">
        <v>132</v>
      </c>
      <c r="E31" s="69" t="s">
        <v>133</v>
      </c>
      <c r="F31" s="8"/>
      <c r="G31" s="8" t="s">
        <v>131</v>
      </c>
      <c r="H31" s="8" t="s">
        <v>134</v>
      </c>
      <c r="I31" s="8" t="s">
        <v>135</v>
      </c>
      <c r="J31" s="8"/>
      <c r="K31" s="8"/>
      <c r="L31" s="8"/>
      <c r="M31" s="8"/>
      <c r="N31" s="8"/>
      <c r="O31" s="8"/>
      <c r="P31" s="60"/>
      <c r="R31" s="38" t="s">
        <v>1267</v>
      </c>
      <c r="S31" s="8" t="s">
        <v>1268</v>
      </c>
      <c r="T31" s="8" t="s">
        <v>1269</v>
      </c>
      <c r="U31" s="8" t="s">
        <v>1270</v>
      </c>
      <c r="V31" s="8" t="s">
        <v>1191</v>
      </c>
      <c r="W31" s="8" t="s">
        <v>1246</v>
      </c>
      <c r="X31" s="8" t="s">
        <v>9</v>
      </c>
      <c r="Y31" s="8" t="s">
        <v>1271</v>
      </c>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63.75">
      <c r="A33" s="8" t="s">
        <v>53</v>
      </c>
      <c r="B33" s="29" t="s">
        <v>54</v>
      </c>
      <c r="C33" s="8" t="s">
        <v>128</v>
      </c>
      <c r="D33" s="8" t="s">
        <v>140</v>
      </c>
      <c r="E33" s="69" t="s">
        <v>141</v>
      </c>
      <c r="F33" s="8"/>
      <c r="G33" s="8" t="s">
        <v>131</v>
      </c>
      <c r="H33" s="8" t="s">
        <v>142</v>
      </c>
      <c r="I33" s="8" t="s">
        <v>143</v>
      </c>
      <c r="J33" s="8"/>
      <c r="K33" s="8"/>
      <c r="L33" s="8"/>
      <c r="M33" s="8"/>
      <c r="N33" s="8"/>
      <c r="O33" s="8"/>
      <c r="P33" s="60"/>
      <c r="R33" s="38" t="s">
        <v>1272</v>
      </c>
      <c r="S33" s="8" t="s">
        <v>1273</v>
      </c>
      <c r="T33" s="149" t="s">
        <v>1274</v>
      </c>
      <c r="U33" s="8" t="s">
        <v>1275</v>
      </c>
      <c r="V33" s="8" t="s">
        <v>1090</v>
      </c>
      <c r="W33" s="8"/>
      <c r="X33" s="8" t="s">
        <v>10</v>
      </c>
      <c r="Y33" s="8" t="s">
        <v>1276</v>
      </c>
      <c r="Z33" s="8" t="s">
        <v>1277</v>
      </c>
      <c r="AA33" s="8" t="s">
        <v>1278</v>
      </c>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299.25">
      <c r="A41" s="8" t="s">
        <v>53</v>
      </c>
      <c r="B41" s="29" t="s">
        <v>54</v>
      </c>
      <c r="C41" s="8" t="s">
        <v>128</v>
      </c>
      <c r="D41" s="8" t="s">
        <v>167</v>
      </c>
      <c r="E41" s="12" t="s">
        <v>168</v>
      </c>
      <c r="F41" s="8"/>
      <c r="G41" s="8" t="s">
        <v>71</v>
      </c>
      <c r="H41" s="12" t="s">
        <v>169</v>
      </c>
      <c r="I41" s="12" t="s">
        <v>110</v>
      </c>
      <c r="J41" s="12"/>
      <c r="K41" s="13"/>
      <c r="L41" s="13"/>
      <c r="M41" s="13"/>
      <c r="N41" s="13"/>
      <c r="O41" s="13"/>
      <c r="P41" s="60"/>
      <c r="Q41" s="48"/>
      <c r="R41" s="41" t="s">
        <v>1279</v>
      </c>
      <c r="S41" s="13" t="s">
        <v>1280</v>
      </c>
      <c r="T41" s="13" t="s">
        <v>1281</v>
      </c>
      <c r="U41" s="13" t="s">
        <v>1282</v>
      </c>
      <c r="V41" s="13" t="s">
        <v>1191</v>
      </c>
      <c r="W41" s="13">
        <v>2024</v>
      </c>
      <c r="X41" s="13" t="s">
        <v>9</v>
      </c>
      <c r="Y41" s="13" t="s">
        <v>1283</v>
      </c>
      <c r="Z41" s="13" t="s">
        <v>1284</v>
      </c>
      <c r="AA41" s="8" t="s">
        <v>1285</v>
      </c>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customHeight="1">
      <c r="A52" s="8" t="s">
        <v>53</v>
      </c>
      <c r="B52" s="29" t="s">
        <v>195</v>
      </c>
      <c r="C52" s="8" t="s">
        <v>196</v>
      </c>
      <c r="D52" s="8" t="s">
        <v>202</v>
      </c>
      <c r="E52" s="69" t="s">
        <v>203</v>
      </c>
      <c r="F52" s="8"/>
      <c r="G52" s="8" t="s">
        <v>62</v>
      </c>
      <c r="H52" s="8" t="s">
        <v>204</v>
      </c>
      <c r="I52" s="15">
        <v>1</v>
      </c>
      <c r="J52" s="8"/>
      <c r="K52" s="8"/>
      <c r="L52" s="8"/>
      <c r="M52" s="8"/>
      <c r="N52" s="8"/>
      <c r="O52" s="8"/>
      <c r="P52" s="60"/>
      <c r="R52" s="38" t="s">
        <v>1286</v>
      </c>
      <c r="S52" s="8"/>
      <c r="T52" s="8" t="s">
        <v>1287</v>
      </c>
      <c r="U52" s="8" t="s">
        <v>1245</v>
      </c>
      <c r="V52" s="8" t="s">
        <v>8</v>
      </c>
      <c r="W52" s="8"/>
      <c r="X52" s="8" t="s">
        <v>9</v>
      </c>
      <c r="Y52" s="8" t="s">
        <v>1265</v>
      </c>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141.75">
      <c r="A80" s="8" t="s">
        <v>53</v>
      </c>
      <c r="B80" s="29" t="s">
        <v>274</v>
      </c>
      <c r="C80" s="8" t="s">
        <v>293</v>
      </c>
      <c r="D80" s="8" t="s">
        <v>294</v>
      </c>
      <c r="E80" s="8" t="s">
        <v>295</v>
      </c>
      <c r="F80" s="8"/>
      <c r="G80" s="8" t="s">
        <v>71</v>
      </c>
      <c r="H80" s="8" t="s">
        <v>296</v>
      </c>
      <c r="I80" s="8" t="s">
        <v>297</v>
      </c>
      <c r="J80" s="8"/>
      <c r="K80" s="8"/>
      <c r="L80" s="8"/>
      <c r="M80" s="8"/>
      <c r="N80" s="8"/>
      <c r="O80" s="8"/>
      <c r="P80" s="60"/>
      <c r="R80" s="38" t="s">
        <v>1288</v>
      </c>
      <c r="S80" s="8" t="s">
        <v>1289</v>
      </c>
      <c r="T80" s="8" t="s">
        <v>1290</v>
      </c>
      <c r="U80" s="8" t="s">
        <v>1245</v>
      </c>
      <c r="V80" s="8" t="s">
        <v>1090</v>
      </c>
      <c r="W80" s="8"/>
      <c r="X80" s="8" t="s">
        <v>9</v>
      </c>
      <c r="Y80" s="8" t="s">
        <v>1291</v>
      </c>
      <c r="Z80" s="8"/>
      <c r="AA80" s="8" t="s">
        <v>1292</v>
      </c>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204.75">
      <c r="A82" s="8" t="s">
        <v>53</v>
      </c>
      <c r="B82" s="29" t="s">
        <v>274</v>
      </c>
      <c r="C82" s="8" t="s">
        <v>298</v>
      </c>
      <c r="D82" s="8" t="s">
        <v>301</v>
      </c>
      <c r="E82" s="69" t="s">
        <v>302</v>
      </c>
      <c r="F82" s="8"/>
      <c r="G82" s="8" t="s">
        <v>62</v>
      </c>
      <c r="H82" s="8" t="s">
        <v>303</v>
      </c>
      <c r="I82" s="8" t="s">
        <v>210</v>
      </c>
      <c r="J82" s="8"/>
      <c r="K82" s="8"/>
      <c r="L82" s="8"/>
      <c r="M82" s="8"/>
      <c r="N82" s="8"/>
      <c r="O82" s="8"/>
      <c r="P82" s="60"/>
      <c r="R82" s="38" t="s">
        <v>1293</v>
      </c>
      <c r="S82" s="8" t="s">
        <v>1294</v>
      </c>
      <c r="T82" s="8" t="s">
        <v>1295</v>
      </c>
      <c r="U82" s="8" t="s">
        <v>1282</v>
      </c>
      <c r="V82" s="8" t="s">
        <v>1090</v>
      </c>
      <c r="W82" s="8"/>
      <c r="X82" s="8" t="s">
        <v>9</v>
      </c>
      <c r="Y82" s="8" t="s">
        <v>1296</v>
      </c>
      <c r="Z82" s="8"/>
      <c r="AA82" s="8"/>
    </row>
    <row r="83" spans="1:27" ht="126">
      <c r="A83" s="8" t="s">
        <v>53</v>
      </c>
      <c r="B83" s="29" t="s">
        <v>274</v>
      </c>
      <c r="C83" s="8" t="s">
        <v>298</v>
      </c>
      <c r="D83" s="8" t="s">
        <v>304</v>
      </c>
      <c r="E83" s="69" t="s">
        <v>305</v>
      </c>
      <c r="F83" s="8"/>
      <c r="G83" s="8" t="s">
        <v>62</v>
      </c>
      <c r="H83" s="8" t="s">
        <v>306</v>
      </c>
      <c r="I83" s="8" t="s">
        <v>210</v>
      </c>
      <c r="J83" s="8"/>
      <c r="K83" s="8"/>
      <c r="L83" s="8"/>
      <c r="M83" s="8"/>
      <c r="N83" s="8"/>
      <c r="O83" s="8"/>
      <c r="P83" s="60"/>
      <c r="R83" s="38" t="s">
        <v>1297</v>
      </c>
      <c r="S83" s="8"/>
      <c r="T83" s="8" t="s">
        <v>1298</v>
      </c>
      <c r="U83" s="8" t="s">
        <v>1245</v>
      </c>
      <c r="V83" s="8" t="s">
        <v>8</v>
      </c>
      <c r="W83" s="8"/>
      <c r="X83" s="8" t="s">
        <v>9</v>
      </c>
      <c r="Y83" s="8" t="s">
        <v>1265</v>
      </c>
      <c r="Z83" s="8"/>
      <c r="AA83" s="8"/>
    </row>
    <row r="84" spans="1:27" ht="126">
      <c r="A84" s="8" t="s">
        <v>53</v>
      </c>
      <c r="B84" s="29" t="s">
        <v>274</v>
      </c>
      <c r="C84" s="8" t="s">
        <v>298</v>
      </c>
      <c r="D84" s="8" t="s">
        <v>307</v>
      </c>
      <c r="E84" s="69" t="s">
        <v>308</v>
      </c>
      <c r="F84" s="8"/>
      <c r="G84" s="8" t="s">
        <v>62</v>
      </c>
      <c r="H84" s="8" t="s">
        <v>309</v>
      </c>
      <c r="I84" s="8" t="s">
        <v>210</v>
      </c>
      <c r="J84" s="8"/>
      <c r="K84" s="8"/>
      <c r="L84" s="8"/>
      <c r="M84" s="8"/>
      <c r="N84" s="8"/>
      <c r="O84" s="8"/>
      <c r="P84" s="60"/>
      <c r="R84" s="38" t="s">
        <v>1297</v>
      </c>
      <c r="S84" s="8"/>
      <c r="T84" s="8" t="s">
        <v>1298</v>
      </c>
      <c r="U84" s="8" t="s">
        <v>1245</v>
      </c>
      <c r="V84" s="8" t="s">
        <v>8</v>
      </c>
      <c r="W84" s="8"/>
      <c r="X84" s="8" t="s">
        <v>9</v>
      </c>
      <c r="Y84" s="8" t="s">
        <v>1265</v>
      </c>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126">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38" t="s">
        <v>1297</v>
      </c>
      <c r="S86" s="8"/>
      <c r="T86" s="8" t="s">
        <v>1298</v>
      </c>
      <c r="U86" s="8" t="s">
        <v>1245</v>
      </c>
      <c r="V86" s="8" t="s">
        <v>8</v>
      </c>
      <c r="W86" s="8"/>
      <c r="X86" s="8" t="s">
        <v>9</v>
      </c>
      <c r="Y86" s="8" t="s">
        <v>1265</v>
      </c>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189">
      <c r="A95" s="8" t="s">
        <v>53</v>
      </c>
      <c r="B95" s="29" t="s">
        <v>336</v>
      </c>
      <c r="C95" s="8" t="s">
        <v>337</v>
      </c>
      <c r="D95" s="8" t="s">
        <v>340</v>
      </c>
      <c r="E95" s="69" t="s">
        <v>341</v>
      </c>
      <c r="F95" s="8"/>
      <c r="G95" s="8" t="s">
        <v>62</v>
      </c>
      <c r="H95" s="8" t="s">
        <v>342</v>
      </c>
      <c r="I95" s="8" t="s">
        <v>343</v>
      </c>
      <c r="J95" s="8"/>
      <c r="K95" s="8"/>
      <c r="L95" s="8"/>
      <c r="M95" s="8"/>
      <c r="N95" s="8"/>
      <c r="O95" s="8"/>
      <c r="P95" s="60"/>
      <c r="R95" s="38" t="s">
        <v>1299</v>
      </c>
      <c r="S95" s="8" t="s">
        <v>1300</v>
      </c>
      <c r="T95" s="8" t="s">
        <v>1301</v>
      </c>
      <c r="U95" s="8" t="s">
        <v>1245</v>
      </c>
      <c r="V95" s="8" t="s">
        <v>1191</v>
      </c>
      <c r="W95" s="8"/>
      <c r="X95" s="8" t="s">
        <v>9</v>
      </c>
      <c r="Y95" s="8" t="s">
        <v>1302</v>
      </c>
      <c r="Z95" s="8"/>
      <c r="AA95" s="8" t="s">
        <v>1303</v>
      </c>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56.25"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78.75">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t="s">
        <v>1304</v>
      </c>
      <c r="S258" s="8"/>
      <c r="T258" s="8"/>
      <c r="U258" s="8" t="s">
        <v>1245</v>
      </c>
      <c r="V258" s="8" t="s">
        <v>8</v>
      </c>
      <c r="W258" s="8"/>
      <c r="X258" s="8"/>
      <c r="Y258" s="8" t="s">
        <v>1305</v>
      </c>
      <c r="Z258" s="8"/>
      <c r="AA258" s="8"/>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t="s">
        <v>1306</v>
      </c>
      <c r="S260" s="8"/>
      <c r="T260" s="8"/>
      <c r="U260" s="8" t="s">
        <v>1245</v>
      </c>
      <c r="V260" s="8" t="s">
        <v>1191</v>
      </c>
      <c r="W260" s="8"/>
      <c r="X260" s="8"/>
      <c r="Y260" s="8" t="s">
        <v>1307</v>
      </c>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t="s">
        <v>1306</v>
      </c>
      <c r="S265" s="8"/>
      <c r="T265" s="8"/>
      <c r="U265" s="8" t="s">
        <v>1245</v>
      </c>
      <c r="V265" s="8" t="s">
        <v>1191</v>
      </c>
      <c r="W265" s="8"/>
      <c r="X265" s="8"/>
      <c r="Y265" s="8" t="s">
        <v>1307</v>
      </c>
      <c r="Z265" s="8"/>
      <c r="AA265" s="8"/>
    </row>
    <row r="266" spans="1:27" ht="31.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157.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157.5">
      <c r="A274" s="8" t="s">
        <v>20</v>
      </c>
      <c r="B274" s="29" t="s">
        <v>195</v>
      </c>
      <c r="C274" s="8" t="s">
        <v>793</v>
      </c>
      <c r="D274" s="8" t="s">
        <v>794</v>
      </c>
      <c r="E274" s="8" t="s">
        <v>795</v>
      </c>
      <c r="F274" s="8"/>
      <c r="G274" s="8" t="s">
        <v>62</v>
      </c>
      <c r="H274" s="8" t="s">
        <v>796</v>
      </c>
      <c r="I274" s="9">
        <v>1</v>
      </c>
      <c r="J274" s="8"/>
      <c r="K274" s="8"/>
      <c r="L274" s="8"/>
      <c r="M274" s="8"/>
      <c r="N274" s="8"/>
      <c r="O274" s="8"/>
      <c r="P274" s="60"/>
      <c r="R274" s="38" t="s">
        <v>1308</v>
      </c>
      <c r="S274" s="8" t="s">
        <v>1309</v>
      </c>
      <c r="T274" s="8" t="s">
        <v>1310</v>
      </c>
      <c r="U274" s="8" t="s">
        <v>1245</v>
      </c>
      <c r="V274" s="8" t="s">
        <v>1191</v>
      </c>
      <c r="W274" s="8">
        <v>2025</v>
      </c>
      <c r="X274" s="8" t="s">
        <v>9</v>
      </c>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94.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189"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56.25"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56.25"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78.7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63"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31.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56.25"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56.25"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31.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56.25"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56.25"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63"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47.25"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56.25"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23CE57B2-86E6-4758-A3F7-94BFDADE8D60}">
    <filterColumn colId="17">
      <customFilters>
        <customFilter operator="notEqual" val=" "/>
      </customFilters>
    </filterColumn>
  </autoFilter>
  <dataValidations count="1">
    <dataValidation type="textLength" operator="lessThan" allowBlank="1" showInputMessage="1" showErrorMessage="1" sqref="P1:P432 AA1:AA432" xr:uid="{FC360CE7-2D5C-4056-A959-FF861F34EC7C}">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1CE74BD3-B3BC-41C7-B610-6A3DA89130EF}">
          <x14:formula1>
            <xm:f>'Input sheet to hide '!$B$3:$B$5</xm:f>
          </x14:formula1>
          <xm:sqref>J4:J156 V3:V432</xm:sqref>
        </x14:dataValidation>
        <x14:dataValidation type="list" allowBlank="1" showInputMessage="1" showErrorMessage="1" xr:uid="{32BAAFA3-2B04-4876-9A91-B083F8529E74}">
          <x14:formula1>
            <xm:f>'Input sheet to hide '!$C$3:$C$6</xm:f>
          </x14:formula1>
          <xm:sqref>M4:M156 X3:X432</xm:sqref>
        </x14:dataValidation>
        <x14:dataValidation type="list" allowBlank="1" showInputMessage="1" showErrorMessage="1" xr:uid="{A5606010-9980-471A-B364-96D85782997C}">
          <x14:formula1>
            <xm:f>'CP Response Overview'!#REF!</xm:f>
          </x14:formula1>
          <xm:sqref>U3:U432 F432 F274:F297 F420:F421 F415:F418 F403:F413 F387:F399 F344:F385 F336:F341 F333:F334 F300:F331 F191:F235 F237:F272 F3:F189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91A5A-C67A-4E4A-B764-386B4F0E5E3E}">
  <sheetPr filterMode="1"/>
  <dimension ref="A1:AY597"/>
  <sheetViews>
    <sheetView zoomScale="55" zoomScaleNormal="55" workbookViewId="0">
      <selection activeCell="R258" sqref="R258"/>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8"/>
      <c r="M8" s="8"/>
      <c r="N8" s="8"/>
      <c r="O8" s="8"/>
      <c r="P8" s="60"/>
      <c r="R8" s="38"/>
      <c r="S8" s="8"/>
      <c r="T8" s="8"/>
      <c r="U8" s="8"/>
      <c r="V8" s="8"/>
      <c r="W8" s="8"/>
      <c r="X8" s="8"/>
      <c r="Y8" s="8"/>
      <c r="Z8" s="8"/>
      <c r="AA8" s="8"/>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hidden="1">
      <c r="A12" s="8" t="s">
        <v>53</v>
      </c>
      <c r="B12" s="29" t="s">
        <v>54</v>
      </c>
      <c r="C12" s="8" t="s">
        <v>81</v>
      </c>
      <c r="D12" s="8" t="s">
        <v>86</v>
      </c>
      <c r="E12" s="69" t="s">
        <v>87</v>
      </c>
      <c r="F12" s="8"/>
      <c r="G12" s="8" t="s">
        <v>62</v>
      </c>
      <c r="H12" s="8" t="s">
        <v>84</v>
      </c>
      <c r="I12" s="8" t="s">
        <v>85</v>
      </c>
      <c r="J12" s="8"/>
      <c r="K12" s="8"/>
      <c r="L12" s="8"/>
      <c r="M12" s="8"/>
      <c r="N12" s="8"/>
      <c r="O12" s="8"/>
      <c r="P12" s="60"/>
      <c r="R12" s="38"/>
      <c r="S12" s="8"/>
      <c r="T12" s="8"/>
      <c r="U12" s="8"/>
      <c r="V12" s="8"/>
      <c r="W12" s="8"/>
      <c r="X12" s="8"/>
      <c r="Y12" s="8"/>
      <c r="Z12" s="8"/>
      <c r="AA12" s="8"/>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63" hidden="1">
      <c r="A14" s="8" t="s">
        <v>53</v>
      </c>
      <c r="B14" s="29" t="s">
        <v>54</v>
      </c>
      <c r="C14" s="8" t="s">
        <v>81</v>
      </c>
      <c r="D14" s="8" t="s">
        <v>90</v>
      </c>
      <c r="E14" s="69" t="s">
        <v>91</v>
      </c>
      <c r="F14" s="8"/>
      <c r="G14" s="8" t="s">
        <v>62</v>
      </c>
      <c r="H14" s="8" t="s">
        <v>84</v>
      </c>
      <c r="I14" s="8" t="s">
        <v>85</v>
      </c>
      <c r="J14" s="8"/>
      <c r="K14" s="8"/>
      <c r="L14" s="8"/>
      <c r="M14" s="8"/>
      <c r="N14" s="8"/>
      <c r="O14" s="8"/>
      <c r="P14" s="60"/>
      <c r="R14" s="38"/>
      <c r="S14" s="8"/>
      <c r="T14" s="8"/>
      <c r="U14" s="8"/>
      <c r="V14" s="8"/>
      <c r="W14" s="8"/>
      <c r="X14" s="8"/>
      <c r="Y14" s="8"/>
      <c r="Z14" s="8"/>
      <c r="AA14" s="8"/>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hidden="1" customHeight="1">
      <c r="A21" s="8" t="s">
        <v>53</v>
      </c>
      <c r="B21" s="29" t="s">
        <v>54</v>
      </c>
      <c r="C21" s="8" t="s">
        <v>81</v>
      </c>
      <c r="D21" s="8" t="s">
        <v>104</v>
      </c>
      <c r="E21" s="8" t="s">
        <v>105</v>
      </c>
      <c r="F21" s="8"/>
      <c r="G21" s="8" t="s">
        <v>62</v>
      </c>
      <c r="H21" s="8" t="s">
        <v>106</v>
      </c>
      <c r="I21" s="9">
        <v>1</v>
      </c>
      <c r="J21" s="9"/>
      <c r="K21" s="11"/>
      <c r="L21" s="9"/>
      <c r="M21" s="9"/>
      <c r="N21" s="9"/>
      <c r="O21" s="9"/>
      <c r="P21" s="60"/>
      <c r="Q21" s="47"/>
      <c r="R21" s="37"/>
      <c r="S21" s="9"/>
      <c r="T21" s="9"/>
      <c r="U21" s="9"/>
      <c r="V21" s="9"/>
      <c r="W21" s="9"/>
      <c r="X21" s="9"/>
      <c r="Y21" s="9"/>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409.5">
      <c r="A204" s="8" t="s">
        <v>16</v>
      </c>
      <c r="B204" s="29" t="s">
        <v>587</v>
      </c>
      <c r="C204" s="8" t="s">
        <v>588</v>
      </c>
      <c r="D204" s="8" t="s">
        <v>610</v>
      </c>
      <c r="E204" s="8" t="s">
        <v>611</v>
      </c>
      <c r="F204" s="8"/>
      <c r="G204" s="8" t="s">
        <v>62</v>
      </c>
      <c r="H204" s="8" t="s">
        <v>612</v>
      </c>
      <c r="I204" s="8" t="s">
        <v>110</v>
      </c>
      <c r="J204" s="8"/>
      <c r="K204" s="8"/>
      <c r="L204" s="8"/>
      <c r="M204" s="8"/>
      <c r="N204" s="8"/>
      <c r="O204" s="8"/>
      <c r="P204" s="60"/>
      <c r="R204" s="38" t="s">
        <v>1311</v>
      </c>
      <c r="S204" s="8" t="s">
        <v>1312</v>
      </c>
      <c r="T204" s="8" t="s">
        <v>1313</v>
      </c>
      <c r="U204" s="8" t="s">
        <v>0</v>
      </c>
      <c r="V204" s="8" t="s">
        <v>8</v>
      </c>
      <c r="W204" s="8">
        <v>2023</v>
      </c>
      <c r="X204" s="8" t="s">
        <v>11</v>
      </c>
      <c r="Y204" s="8"/>
      <c r="Z204" s="8" t="s">
        <v>1314</v>
      </c>
      <c r="AA204" s="8" t="s">
        <v>1315</v>
      </c>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56.25"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63" hidden="1">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c r="S258" s="8"/>
      <c r="T258" s="8"/>
      <c r="U258" s="8"/>
      <c r="V258" s="8"/>
      <c r="W258" s="8"/>
      <c r="X258" s="8"/>
      <c r="Y258" s="8"/>
      <c r="Z258" s="8"/>
      <c r="AA258" s="8"/>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c r="S260" s="8"/>
      <c r="T260" s="8"/>
      <c r="U260" s="8"/>
      <c r="V260" s="8"/>
      <c r="W260" s="8"/>
      <c r="X260" s="8"/>
      <c r="Y260" s="8"/>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hidden="1">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c r="S265" s="8"/>
      <c r="T265" s="8"/>
      <c r="U265" s="8"/>
      <c r="V265" s="8"/>
      <c r="W265" s="8"/>
      <c r="X265" s="8"/>
      <c r="Y265" s="8"/>
      <c r="Z265" s="8"/>
      <c r="AA265" s="8"/>
    </row>
    <row r="266" spans="1:27" ht="31.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157.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63"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94.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189"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56.25"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56.25"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409.5">
      <c r="A314" s="8" t="s">
        <v>20</v>
      </c>
      <c r="B314" s="29" t="s">
        <v>587</v>
      </c>
      <c r="C314" s="8" t="s">
        <v>901</v>
      </c>
      <c r="D314" s="8" t="s">
        <v>904</v>
      </c>
      <c r="E314" s="8" t="s">
        <v>905</v>
      </c>
      <c r="F314" s="8"/>
      <c r="G314" s="8" t="s">
        <v>62</v>
      </c>
      <c r="H314" s="8" t="s">
        <v>742</v>
      </c>
      <c r="I314" s="9">
        <v>0.5</v>
      </c>
      <c r="J314" s="8"/>
      <c r="K314" s="8"/>
      <c r="L314" s="8"/>
      <c r="M314" s="8"/>
      <c r="N314" s="8"/>
      <c r="O314" s="8"/>
      <c r="P314" s="60"/>
      <c r="R314" s="38" t="s">
        <v>1316</v>
      </c>
      <c r="S314" s="8" t="s">
        <v>1317</v>
      </c>
      <c r="T314" s="38" t="s">
        <v>1318</v>
      </c>
      <c r="U314" s="8" t="s">
        <v>1319</v>
      </c>
      <c r="V314" s="8" t="s">
        <v>1191</v>
      </c>
      <c r="W314" s="8"/>
      <c r="X314" s="8" t="s">
        <v>11</v>
      </c>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78.7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63"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31.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56.25"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56.25"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31.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56.25"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56.25"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63"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47.25"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56.25"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B9291A5A-C67A-4E4A-B764-386B4F0E5E3E}">
    <filterColumn colId="17">
      <customFilters>
        <customFilter operator="notEqual" val=" "/>
      </customFilters>
    </filterColumn>
  </autoFilter>
  <dataValidations count="1">
    <dataValidation type="textLength" operator="lessThan" allowBlank="1" showInputMessage="1" showErrorMessage="1" sqref="P1:P432 AA1:AA432" xr:uid="{C31EBFBD-A972-40B4-B8D9-C3D7D82DB456}">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AAAFF364-F3EE-4663-BCC3-25C8A08F335D}">
          <x14:formula1>
            <xm:f>'Input sheet to hide '!$C$3:$C$6</xm:f>
          </x14:formula1>
          <xm:sqref>M4:M156 X3:X432</xm:sqref>
        </x14:dataValidation>
        <x14:dataValidation type="list" allowBlank="1" showInputMessage="1" showErrorMessage="1" xr:uid="{ED3A8721-7F14-4654-B824-E993DBC159CA}">
          <x14:formula1>
            <xm:f>'Input sheet to hide '!$B$3:$B$5</xm:f>
          </x14:formula1>
          <xm:sqref>J4:J156 V3:V432</xm:sqref>
        </x14:dataValidation>
        <x14:dataValidation type="list" allowBlank="1" showInputMessage="1" showErrorMessage="1" xr:uid="{49CAB8AD-70A4-4341-AEAA-F16198597A95}">
          <x14:formula1>
            <xm:f>'CP Response Overview'!#REF!</xm:f>
          </x14:formula1>
          <xm:sqref>F432 F274:F297 F420:F421 F415:F418 F403:F413 F387:F399 F344:F385 F336:F341 F333:F334 F300:F331 F191:F235 F237:F272 F3:F189 U3:U432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DE8A0-D82A-4F20-8CE6-F23811AD0610}">
  <sheetPr filterMode="1"/>
  <dimension ref="A1:AY597"/>
  <sheetViews>
    <sheetView zoomScale="55" zoomScaleNormal="55" workbookViewId="0">
      <selection activeCell="R321" sqref="R321"/>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hidden="1" customWidth="1"/>
    <col min="7" max="7" width="12.85546875" style="1" hidden="1" customWidth="1"/>
    <col min="8" max="8" width="22.5703125" style="1" hidden="1" customWidth="1"/>
    <col min="9" max="9" width="14.5703125" style="1" hidden="1" customWidth="1"/>
    <col min="10" max="11" width="19.5703125" style="1" hidden="1" customWidth="1"/>
    <col min="12" max="13" width="16.140625" style="1" hidden="1" customWidth="1"/>
    <col min="14" max="14" width="20.5703125" style="1" hidden="1" customWidth="1"/>
    <col min="15" max="15" width="19.85546875" style="1" hidden="1" customWidth="1"/>
    <col min="16" max="16" width="20.85546875" style="1" hidden="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409.5">
      <c r="A8" s="8" t="s">
        <v>53</v>
      </c>
      <c r="B8" s="29" t="s">
        <v>54</v>
      </c>
      <c r="C8" s="8" t="s">
        <v>55</v>
      </c>
      <c r="D8" s="8" t="s">
        <v>69</v>
      </c>
      <c r="E8" s="8" t="s">
        <v>70</v>
      </c>
      <c r="F8" s="8"/>
      <c r="G8" s="8" t="s">
        <v>71</v>
      </c>
      <c r="H8" s="8" t="s">
        <v>72</v>
      </c>
      <c r="I8" s="8" t="s">
        <v>73</v>
      </c>
      <c r="J8" s="8"/>
      <c r="K8" s="8"/>
      <c r="L8" s="8"/>
      <c r="M8" s="8"/>
      <c r="N8" s="8"/>
      <c r="O8" s="8"/>
      <c r="P8" s="60"/>
      <c r="R8" s="38" t="s">
        <v>1320</v>
      </c>
      <c r="S8" s="8"/>
      <c r="T8" s="8"/>
      <c r="U8" s="8" t="s">
        <v>1321</v>
      </c>
      <c r="V8" s="8" t="s">
        <v>1191</v>
      </c>
      <c r="W8" s="8"/>
      <c r="X8" s="8"/>
      <c r="Y8" s="8"/>
      <c r="Z8" s="8"/>
      <c r="AA8" s="8"/>
    </row>
    <row r="9" spans="1:27" ht="299.25">
      <c r="A9" s="8" t="s">
        <v>53</v>
      </c>
      <c r="B9" s="29" t="s">
        <v>54</v>
      </c>
      <c r="C9" s="8" t="s">
        <v>55</v>
      </c>
      <c r="D9" s="8" t="s">
        <v>74</v>
      </c>
      <c r="E9" s="8" t="s">
        <v>75</v>
      </c>
      <c r="F9" s="8"/>
      <c r="G9" s="8" t="s">
        <v>71</v>
      </c>
      <c r="H9" s="8" t="s">
        <v>76</v>
      </c>
      <c r="I9" s="8" t="s">
        <v>77</v>
      </c>
      <c r="J9" s="8"/>
      <c r="K9" s="10"/>
      <c r="L9" s="8"/>
      <c r="M9" s="8"/>
      <c r="N9" s="8"/>
      <c r="O9" s="8"/>
      <c r="P9" s="60"/>
      <c r="R9" s="38" t="s">
        <v>1322</v>
      </c>
      <c r="S9" s="8"/>
      <c r="T9" s="8"/>
      <c r="U9" s="8" t="s">
        <v>1321</v>
      </c>
      <c r="V9" s="8" t="s">
        <v>1191</v>
      </c>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hidden="1">
      <c r="A12" s="8" t="s">
        <v>53</v>
      </c>
      <c r="B12" s="29" t="s">
        <v>54</v>
      </c>
      <c r="C12" s="8" t="s">
        <v>81</v>
      </c>
      <c r="D12" s="8" t="s">
        <v>86</v>
      </c>
      <c r="E12" s="69" t="s">
        <v>87</v>
      </c>
      <c r="F12" s="8"/>
      <c r="G12" s="8" t="s">
        <v>62</v>
      </c>
      <c r="H12" s="8" t="s">
        <v>84</v>
      </c>
      <c r="I12" s="8" t="s">
        <v>85</v>
      </c>
      <c r="J12" s="8"/>
      <c r="K12" s="8"/>
      <c r="L12" s="8"/>
      <c r="M12" s="8"/>
      <c r="N12" s="8"/>
      <c r="O12" s="8"/>
      <c r="P12" s="60"/>
      <c r="R12" s="38"/>
      <c r="S12" s="8"/>
      <c r="T12" s="8"/>
      <c r="U12" s="8"/>
      <c r="V12" s="8"/>
      <c r="W12" s="8"/>
      <c r="X12" s="8"/>
      <c r="Y12" s="8"/>
      <c r="Z12" s="8"/>
      <c r="AA12" s="8"/>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63" hidden="1">
      <c r="A14" s="8" t="s">
        <v>53</v>
      </c>
      <c r="B14" s="29" t="s">
        <v>54</v>
      </c>
      <c r="C14" s="8" t="s">
        <v>81</v>
      </c>
      <c r="D14" s="8" t="s">
        <v>90</v>
      </c>
      <c r="E14" s="69" t="s">
        <v>91</v>
      </c>
      <c r="F14" s="8"/>
      <c r="G14" s="8" t="s">
        <v>62</v>
      </c>
      <c r="H14" s="8" t="s">
        <v>84</v>
      </c>
      <c r="I14" s="8" t="s">
        <v>85</v>
      </c>
      <c r="J14" s="8"/>
      <c r="K14" s="8"/>
      <c r="L14" s="8"/>
      <c r="M14" s="8"/>
      <c r="N14" s="8"/>
      <c r="O14" s="8"/>
      <c r="P14" s="60"/>
      <c r="R14" s="38"/>
      <c r="S14" s="8"/>
      <c r="T14" s="8"/>
      <c r="U14" s="8"/>
      <c r="V14" s="8"/>
      <c r="W14" s="8"/>
      <c r="X14" s="8"/>
      <c r="Y14" s="8"/>
      <c r="Z14" s="8"/>
      <c r="AA14" s="8"/>
    </row>
    <row r="15" spans="1:27" ht="409.5">
      <c r="A15" s="8" t="s">
        <v>53</v>
      </c>
      <c r="B15" s="29" t="s">
        <v>54</v>
      </c>
      <c r="C15" s="8" t="s">
        <v>81</v>
      </c>
      <c r="D15" s="8" t="s">
        <v>92</v>
      </c>
      <c r="E15" s="69" t="s">
        <v>93</v>
      </c>
      <c r="F15" s="8"/>
      <c r="G15" s="8" t="s">
        <v>62</v>
      </c>
      <c r="H15" s="8" t="s">
        <v>84</v>
      </c>
      <c r="I15" s="8" t="s">
        <v>85</v>
      </c>
      <c r="J15" s="8"/>
      <c r="K15" s="8"/>
      <c r="L15" s="8"/>
      <c r="M15" s="8"/>
      <c r="N15" s="8"/>
      <c r="O15" s="8"/>
      <c r="P15" s="60"/>
      <c r="R15" s="38" t="s">
        <v>4046</v>
      </c>
      <c r="S15" s="8"/>
      <c r="T15" s="8"/>
      <c r="U15" s="8" t="s">
        <v>1321</v>
      </c>
      <c r="V15" s="8" t="s">
        <v>1191</v>
      </c>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409.5">
      <c r="A17" s="8" t="s">
        <v>53</v>
      </c>
      <c r="B17" s="29" t="s">
        <v>54</v>
      </c>
      <c r="C17" s="8" t="s">
        <v>81</v>
      </c>
      <c r="D17" s="8" t="s">
        <v>96</v>
      </c>
      <c r="E17" s="69" t="s">
        <v>97</v>
      </c>
      <c r="F17" s="8"/>
      <c r="G17" s="8" t="s">
        <v>62</v>
      </c>
      <c r="H17" s="8" t="s">
        <v>84</v>
      </c>
      <c r="I17" s="8" t="s">
        <v>85</v>
      </c>
      <c r="J17" s="8"/>
      <c r="K17" s="8"/>
      <c r="L17" s="8"/>
      <c r="M17" s="8"/>
      <c r="N17" s="8"/>
      <c r="O17" s="8"/>
      <c r="P17" s="60"/>
      <c r="R17" s="38" t="s">
        <v>4046</v>
      </c>
      <c r="S17" s="8"/>
      <c r="T17" s="8"/>
      <c r="U17" s="8" t="s">
        <v>1321</v>
      </c>
      <c r="V17" s="8" t="s">
        <v>1191</v>
      </c>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customHeight="1">
      <c r="A21" s="8" t="s">
        <v>53</v>
      </c>
      <c r="B21" s="29" t="s">
        <v>54</v>
      </c>
      <c r="C21" s="8" t="s">
        <v>81</v>
      </c>
      <c r="D21" s="8" t="s">
        <v>104</v>
      </c>
      <c r="E21" s="8" t="s">
        <v>105</v>
      </c>
      <c r="F21" s="8"/>
      <c r="G21" s="8" t="s">
        <v>62</v>
      </c>
      <c r="H21" s="8" t="s">
        <v>106</v>
      </c>
      <c r="I21" s="9">
        <v>1</v>
      </c>
      <c r="J21" s="9"/>
      <c r="K21" s="11"/>
      <c r="L21" s="9"/>
      <c r="M21" s="9"/>
      <c r="N21" s="9"/>
      <c r="O21" s="9"/>
      <c r="P21" s="60"/>
      <c r="Q21" s="47"/>
      <c r="R21" s="37" t="s">
        <v>1323</v>
      </c>
      <c r="S21" s="9"/>
      <c r="T21" s="9"/>
      <c r="U21" s="9" t="s">
        <v>1324</v>
      </c>
      <c r="V21" s="9" t="s">
        <v>1191</v>
      </c>
      <c r="W21" s="9"/>
      <c r="X21" s="9"/>
      <c r="Y21" s="9"/>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299.25">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t="s">
        <v>1325</v>
      </c>
      <c r="S38" s="12"/>
      <c r="T38" s="12"/>
      <c r="U38" s="12" t="s">
        <v>1321</v>
      </c>
      <c r="V38" s="12" t="s">
        <v>1191</v>
      </c>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409.5">
      <c r="A78" s="8" t="s">
        <v>53</v>
      </c>
      <c r="B78" s="29" t="s">
        <v>274</v>
      </c>
      <c r="C78" s="8" t="s">
        <v>275</v>
      </c>
      <c r="D78" s="8" t="s">
        <v>288</v>
      </c>
      <c r="E78" s="69" t="s">
        <v>289</v>
      </c>
      <c r="F78" s="8"/>
      <c r="G78" s="8" t="s">
        <v>62</v>
      </c>
      <c r="H78" s="8" t="s">
        <v>290</v>
      </c>
      <c r="I78" s="17">
        <v>1</v>
      </c>
      <c r="J78" s="8"/>
      <c r="K78" s="8"/>
      <c r="L78" s="8"/>
      <c r="M78" s="8"/>
      <c r="N78" s="8"/>
      <c r="O78" s="8"/>
      <c r="P78" s="60"/>
      <c r="R78" s="38" t="s">
        <v>4047</v>
      </c>
      <c r="S78" s="8"/>
      <c r="T78" s="8"/>
      <c r="U78" s="8" t="s">
        <v>1321</v>
      </c>
      <c r="V78" s="8" t="s">
        <v>1191</v>
      </c>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409.5">
      <c r="A156" s="8" t="s">
        <v>16</v>
      </c>
      <c r="B156" s="29" t="s">
        <v>54</v>
      </c>
      <c r="C156" s="8" t="s">
        <v>481</v>
      </c>
      <c r="D156" s="8" t="s">
        <v>482</v>
      </c>
      <c r="E156" s="8" t="s">
        <v>483</v>
      </c>
      <c r="F156" s="8"/>
      <c r="G156" s="8" t="s">
        <v>62</v>
      </c>
      <c r="H156" s="8" t="s">
        <v>484</v>
      </c>
      <c r="I156" s="8" t="s">
        <v>485</v>
      </c>
      <c r="J156" s="8"/>
      <c r="K156" s="8"/>
      <c r="L156" s="8"/>
      <c r="M156" s="8"/>
      <c r="N156" s="8"/>
      <c r="O156" s="8"/>
      <c r="P156" s="60"/>
      <c r="R156" s="38" t="s">
        <v>1326</v>
      </c>
      <c r="S156" s="8"/>
      <c r="T156" s="8"/>
      <c r="U156" s="8" t="s">
        <v>1321</v>
      </c>
      <c r="V156" s="8" t="s">
        <v>1191</v>
      </c>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409.5">
      <c r="A172" s="8" t="s">
        <v>16</v>
      </c>
      <c r="B172" s="29" t="s">
        <v>54</v>
      </c>
      <c r="C172" s="8" t="s">
        <v>486</v>
      </c>
      <c r="D172" s="8" t="s">
        <v>523</v>
      </c>
      <c r="E172" s="8" t="s">
        <v>524</v>
      </c>
      <c r="F172" s="8"/>
      <c r="G172" s="8" t="s">
        <v>62</v>
      </c>
      <c r="H172" s="8" t="s">
        <v>525</v>
      </c>
      <c r="I172" s="8" t="s">
        <v>526</v>
      </c>
      <c r="J172" s="8"/>
      <c r="K172" s="8"/>
      <c r="L172" s="8"/>
      <c r="M172" s="8"/>
      <c r="N172" s="8"/>
      <c r="O172" s="8"/>
      <c r="P172" s="60"/>
      <c r="R172" s="38" t="s">
        <v>1327</v>
      </c>
      <c r="S172" s="8"/>
      <c r="T172" s="8"/>
      <c r="U172" s="8" t="s">
        <v>1321</v>
      </c>
      <c r="V172" s="8" t="s">
        <v>1191</v>
      </c>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346.5">
      <c r="A174" s="8" t="s">
        <v>16</v>
      </c>
      <c r="B174" s="29" t="s">
        <v>195</v>
      </c>
      <c r="C174" s="8" t="s">
        <v>531</v>
      </c>
      <c r="D174" s="8" t="s">
        <v>532</v>
      </c>
      <c r="E174" s="8" t="s">
        <v>533</v>
      </c>
      <c r="F174" s="8"/>
      <c r="G174" s="8" t="s">
        <v>62</v>
      </c>
      <c r="H174" s="8" t="s">
        <v>534</v>
      </c>
      <c r="I174" s="9">
        <v>1</v>
      </c>
      <c r="J174" s="8"/>
      <c r="K174" s="8"/>
      <c r="L174" s="8"/>
      <c r="M174" s="8"/>
      <c r="N174" s="8"/>
      <c r="O174" s="8"/>
      <c r="P174" s="60"/>
      <c r="R174" s="38" t="s">
        <v>1328</v>
      </c>
      <c r="S174" s="8"/>
      <c r="T174" s="8"/>
      <c r="U174" s="8" t="s">
        <v>1321</v>
      </c>
      <c r="V174" s="8" t="s">
        <v>1191</v>
      </c>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283.5">
      <c r="A188" s="8" t="s">
        <v>16</v>
      </c>
      <c r="B188" s="29" t="s">
        <v>274</v>
      </c>
      <c r="C188" s="8" t="s">
        <v>571</v>
      </c>
      <c r="D188" s="8" t="s">
        <v>575</v>
      </c>
      <c r="E188" s="8" t="s">
        <v>576</v>
      </c>
      <c r="F188" s="8"/>
      <c r="G188" s="8" t="s">
        <v>62</v>
      </c>
      <c r="H188" s="8" t="s">
        <v>577</v>
      </c>
      <c r="I188" s="9">
        <v>1</v>
      </c>
      <c r="J188" s="8"/>
      <c r="K188" s="8"/>
      <c r="L188" s="8"/>
      <c r="M188" s="8"/>
      <c r="N188" s="8"/>
      <c r="O188" s="8"/>
      <c r="P188" s="60"/>
      <c r="R188" s="38" t="s">
        <v>1329</v>
      </c>
      <c r="S188" s="8"/>
      <c r="T188" s="8"/>
      <c r="U188" s="8" t="s">
        <v>1321</v>
      </c>
      <c r="V188" s="8" t="s">
        <v>1191</v>
      </c>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56.25"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409.5">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t="s">
        <v>1330</v>
      </c>
      <c r="S258" s="8"/>
      <c r="T258" s="8"/>
      <c r="U258" s="8" t="s">
        <v>1321</v>
      </c>
      <c r="V258" s="8" t="s">
        <v>1191</v>
      </c>
      <c r="W258" s="8"/>
      <c r="X258" s="8"/>
      <c r="Y258" s="8"/>
      <c r="Z258" s="8"/>
      <c r="AA258" s="8"/>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c r="S260" s="8"/>
      <c r="T260" s="8"/>
      <c r="U260" s="8"/>
      <c r="V260" s="8"/>
      <c r="W260" s="8"/>
      <c r="X260" s="8"/>
      <c r="Y260" s="8"/>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hidden="1">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c r="S265" s="8"/>
      <c r="T265" s="8"/>
      <c r="U265" s="8"/>
      <c r="V265" s="8"/>
      <c r="W265" s="8"/>
      <c r="X265" s="8"/>
      <c r="Y265" s="8"/>
      <c r="Z265" s="8"/>
      <c r="AA265" s="8"/>
    </row>
    <row r="266" spans="1:27" ht="31.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157.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63"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94.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189"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56.25"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56.25"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78.7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63"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409.5">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t="s">
        <v>1320</v>
      </c>
      <c r="S321" s="8"/>
      <c r="T321" s="8"/>
      <c r="U321" s="8" t="s">
        <v>1321</v>
      </c>
      <c r="V321" s="8" t="s">
        <v>1191</v>
      </c>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47.2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94.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63"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63"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110.2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47.2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78.75"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63"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78.75"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CD9DE8A0-D82A-4F20-8CE6-F23811AD0610}">
    <filterColumn colId="17">
      <customFilters>
        <customFilter operator="notEqual" val=" "/>
      </customFilters>
    </filterColumn>
  </autoFilter>
  <dataValidations count="1">
    <dataValidation type="textLength" operator="lessThan" allowBlank="1" showInputMessage="1" showErrorMessage="1" sqref="P1:P432 AA1:AA432" xr:uid="{EF13898F-909F-4EB7-8610-E866DCC858F8}">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8C96D186-E00C-4911-B8B9-020F16F7E867}">
          <x14:formula1>
            <xm:f>'Input sheet to hide '!$C$3:$C$6</xm:f>
          </x14:formula1>
          <xm:sqref>M4:M156 X3:X432</xm:sqref>
        </x14:dataValidation>
        <x14:dataValidation type="list" allowBlank="1" showInputMessage="1" showErrorMessage="1" xr:uid="{0542513A-31FF-4E90-8A9D-769EC9D76E53}">
          <x14:formula1>
            <xm:f>'Input sheet to hide '!$B$3:$B$5</xm:f>
          </x14:formula1>
          <xm:sqref>J4:J156 V3:V432</xm:sqref>
        </x14:dataValidation>
        <x14:dataValidation type="list" allowBlank="1" showInputMessage="1" showErrorMessage="1" xr:uid="{4C593DF4-BF36-4AE4-A2B0-A8B58F28850E}">
          <x14:formula1>
            <xm:f>'CP Response Overview'!#REF!</xm:f>
          </x14:formula1>
          <xm:sqref>F432 F274:F297 F420:F421 F415:F418 F403:F413 F387:F399 F344:F385 F336:F341 F333:F334 F300:F331 F191:F235 F237:F272 F3:F189 U3:U432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A410E-D828-44DE-A03C-382B8BB950E9}">
  <sheetPr filterMode="1"/>
  <dimension ref="A1:AY597"/>
  <sheetViews>
    <sheetView zoomScale="80" zoomScaleNormal="80" workbookViewId="0">
      <selection activeCell="R321" sqref="R321"/>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63">
      <c r="A8" s="8" t="s">
        <v>53</v>
      </c>
      <c r="B8" s="29" t="s">
        <v>54</v>
      </c>
      <c r="C8" s="8" t="s">
        <v>55</v>
      </c>
      <c r="D8" s="8" t="s">
        <v>69</v>
      </c>
      <c r="E8" s="8" t="s">
        <v>70</v>
      </c>
      <c r="F8" s="8"/>
      <c r="G8" s="8" t="s">
        <v>71</v>
      </c>
      <c r="H8" s="8" t="s">
        <v>72</v>
      </c>
      <c r="I8" s="8" t="s">
        <v>73</v>
      </c>
      <c r="J8" s="8"/>
      <c r="K8" s="8"/>
      <c r="L8" s="8"/>
      <c r="M8" s="8"/>
      <c r="N8" s="8"/>
      <c r="O8" s="8"/>
      <c r="P8" s="60"/>
      <c r="R8" s="38" t="s">
        <v>1332</v>
      </c>
      <c r="S8" s="8"/>
      <c r="T8" s="8"/>
      <c r="U8" s="8"/>
      <c r="V8" s="8" t="s">
        <v>1191</v>
      </c>
      <c r="W8" s="8"/>
      <c r="X8" s="8"/>
      <c r="Y8" s="8"/>
      <c r="Z8" s="8"/>
      <c r="AA8" s="8"/>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63">
      <c r="A10" s="8" t="s">
        <v>53</v>
      </c>
      <c r="B10" s="29" t="s">
        <v>54</v>
      </c>
      <c r="C10" s="8" t="s">
        <v>55</v>
      </c>
      <c r="D10" s="8" t="s">
        <v>78</v>
      </c>
      <c r="E10" s="8" t="s">
        <v>79</v>
      </c>
      <c r="F10" s="8"/>
      <c r="G10" s="8" t="s">
        <v>62</v>
      </c>
      <c r="H10" s="8" t="s">
        <v>80</v>
      </c>
      <c r="I10" s="8">
        <v>5</v>
      </c>
      <c r="J10" s="8"/>
      <c r="K10" s="8"/>
      <c r="L10" s="8"/>
      <c r="M10" s="8"/>
      <c r="N10" s="8"/>
      <c r="O10" s="8"/>
      <c r="P10" s="60"/>
      <c r="R10" s="38" t="s">
        <v>1333</v>
      </c>
      <c r="S10" s="8"/>
      <c r="T10" s="8"/>
      <c r="U10" s="8"/>
      <c r="V10" s="8" t="s">
        <v>1191</v>
      </c>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hidden="1">
      <c r="A12" s="8" t="s">
        <v>53</v>
      </c>
      <c r="B12" s="29" t="s">
        <v>54</v>
      </c>
      <c r="C12" s="8" t="s">
        <v>81</v>
      </c>
      <c r="D12" s="8" t="s">
        <v>86</v>
      </c>
      <c r="E12" s="69" t="s">
        <v>87</v>
      </c>
      <c r="F12" s="8"/>
      <c r="G12" s="8" t="s">
        <v>62</v>
      </c>
      <c r="H12" s="8" t="s">
        <v>84</v>
      </c>
      <c r="I12" s="8" t="s">
        <v>85</v>
      </c>
      <c r="J12" s="8"/>
      <c r="K12" s="8"/>
      <c r="L12" s="8"/>
      <c r="M12" s="8"/>
      <c r="N12" s="8"/>
      <c r="O12" s="8"/>
      <c r="P12" s="60"/>
      <c r="R12" s="38"/>
      <c r="S12" s="8"/>
      <c r="T12" s="8"/>
      <c r="U12" s="8"/>
      <c r="V12" s="8"/>
      <c r="W12" s="8"/>
      <c r="X12" s="8"/>
      <c r="Y12" s="8"/>
      <c r="Z12" s="8"/>
      <c r="AA12" s="8"/>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63" hidden="1">
      <c r="A14" s="8" t="s">
        <v>53</v>
      </c>
      <c r="B14" s="29" t="s">
        <v>54</v>
      </c>
      <c r="C14" s="8" t="s">
        <v>81</v>
      </c>
      <c r="D14" s="8" t="s">
        <v>90</v>
      </c>
      <c r="E14" s="69" t="s">
        <v>91</v>
      </c>
      <c r="F14" s="8"/>
      <c r="G14" s="8" t="s">
        <v>62</v>
      </c>
      <c r="H14" s="8" t="s">
        <v>84</v>
      </c>
      <c r="I14" s="8" t="s">
        <v>85</v>
      </c>
      <c r="J14" s="8"/>
      <c r="K14" s="8"/>
      <c r="L14" s="8"/>
      <c r="M14" s="8"/>
      <c r="N14" s="8"/>
      <c r="O14" s="8"/>
      <c r="P14" s="60"/>
      <c r="R14" s="38"/>
      <c r="S14" s="8"/>
      <c r="T14" s="8"/>
      <c r="U14" s="8"/>
      <c r="V14" s="8"/>
      <c r="W14" s="8"/>
      <c r="X14" s="8"/>
      <c r="Y14" s="8"/>
      <c r="Z14" s="8"/>
      <c r="AA14" s="8"/>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customHeight="1">
      <c r="A21" s="8" t="s">
        <v>53</v>
      </c>
      <c r="B21" s="29" t="s">
        <v>54</v>
      </c>
      <c r="C21" s="8" t="s">
        <v>81</v>
      </c>
      <c r="D21" s="8" t="s">
        <v>104</v>
      </c>
      <c r="E21" s="8" t="s">
        <v>105</v>
      </c>
      <c r="F21" s="8"/>
      <c r="G21" s="8" t="s">
        <v>62</v>
      </c>
      <c r="H21" s="8" t="s">
        <v>106</v>
      </c>
      <c r="I21" s="9">
        <v>1</v>
      </c>
      <c r="J21" s="9"/>
      <c r="K21" s="11"/>
      <c r="L21" s="9"/>
      <c r="M21" s="9"/>
      <c r="N21" s="9"/>
      <c r="O21" s="9"/>
      <c r="P21" s="60"/>
      <c r="Q21" s="47"/>
      <c r="R21" s="37" t="s">
        <v>1334</v>
      </c>
      <c r="S21" s="9"/>
      <c r="T21" s="9"/>
      <c r="U21" s="9"/>
      <c r="V21" s="9" t="s">
        <v>1191</v>
      </c>
      <c r="W21" s="9"/>
      <c r="X21" s="9"/>
      <c r="Y21" s="9"/>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63">
      <c r="A95" s="8" t="s">
        <v>53</v>
      </c>
      <c r="B95" s="29" t="s">
        <v>336</v>
      </c>
      <c r="C95" s="8" t="s">
        <v>337</v>
      </c>
      <c r="D95" s="8" t="s">
        <v>340</v>
      </c>
      <c r="E95" s="69" t="s">
        <v>341</v>
      </c>
      <c r="F95" s="8"/>
      <c r="G95" s="8" t="s">
        <v>62</v>
      </c>
      <c r="H95" s="8" t="s">
        <v>342</v>
      </c>
      <c r="I95" s="8" t="s">
        <v>343</v>
      </c>
      <c r="J95" s="8"/>
      <c r="K95" s="8"/>
      <c r="L95" s="8"/>
      <c r="M95" s="8"/>
      <c r="N95" s="8"/>
      <c r="O95" s="8"/>
      <c r="P95" s="60"/>
      <c r="R95" s="38" t="s">
        <v>1332</v>
      </c>
      <c r="S95" s="8"/>
      <c r="T95" s="8"/>
      <c r="U95" s="8"/>
      <c r="V95" s="8" t="s">
        <v>1191</v>
      </c>
      <c r="W95" s="8"/>
      <c r="X95" s="8"/>
      <c r="Y95" s="8"/>
      <c r="Z95" s="8"/>
      <c r="AA95" s="8"/>
    </row>
    <row r="96" spans="1:27" ht="56.25">
      <c r="A96" s="8" t="s">
        <v>53</v>
      </c>
      <c r="B96" s="29" t="s">
        <v>336</v>
      </c>
      <c r="C96" s="8" t="s">
        <v>337</v>
      </c>
      <c r="D96" s="8" t="s">
        <v>344</v>
      </c>
      <c r="E96" s="69" t="s">
        <v>345</v>
      </c>
      <c r="F96" s="8"/>
      <c r="G96" s="8" t="s">
        <v>62</v>
      </c>
      <c r="H96" s="8" t="s">
        <v>346</v>
      </c>
      <c r="I96" s="8" t="s">
        <v>343</v>
      </c>
      <c r="J96" s="8"/>
      <c r="K96" s="8"/>
      <c r="L96" s="8"/>
      <c r="M96" s="8"/>
      <c r="N96" s="8"/>
      <c r="O96" s="8"/>
      <c r="P96" s="60"/>
      <c r="R96" s="38" t="s">
        <v>1335</v>
      </c>
      <c r="S96" s="8"/>
      <c r="T96" s="8"/>
      <c r="U96" s="8"/>
      <c r="V96" s="8" t="s">
        <v>1191</v>
      </c>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c r="A156" s="8" t="s">
        <v>16</v>
      </c>
      <c r="B156" s="29" t="s">
        <v>54</v>
      </c>
      <c r="C156" s="8" t="s">
        <v>481</v>
      </c>
      <c r="D156" s="8" t="s">
        <v>482</v>
      </c>
      <c r="E156" s="8" t="s">
        <v>483</v>
      </c>
      <c r="F156" s="8"/>
      <c r="G156" s="8" t="s">
        <v>62</v>
      </c>
      <c r="H156" s="8" t="s">
        <v>484</v>
      </c>
      <c r="I156" s="8" t="s">
        <v>485</v>
      </c>
      <c r="J156" s="8"/>
      <c r="K156" s="8"/>
      <c r="L156" s="8"/>
      <c r="M156" s="8"/>
      <c r="N156" s="8"/>
      <c r="O156" s="8"/>
      <c r="P156" s="60"/>
      <c r="R156" s="38" t="s">
        <v>1336</v>
      </c>
      <c r="S156" s="8"/>
      <c r="T156" s="8"/>
      <c r="U156" s="8"/>
      <c r="V156" s="8" t="s">
        <v>1191</v>
      </c>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9"/>
      <c r="S161" s="20"/>
      <c r="T161" s="20"/>
      <c r="U161" s="20"/>
      <c r="V161" s="20"/>
      <c r="W161" s="20"/>
      <c r="X161" s="20"/>
      <c r="Y161" s="20"/>
      <c r="Z161" s="20"/>
      <c r="AA161" s="20"/>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9"/>
      <c r="S162" s="20"/>
      <c r="T162" s="20"/>
      <c r="U162" s="20"/>
      <c r="V162" s="20"/>
      <c r="W162" s="20"/>
      <c r="X162" s="20"/>
      <c r="Y162" s="20"/>
      <c r="Z162" s="20"/>
      <c r="AA162" s="20"/>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c r="A174" s="8" t="s">
        <v>16</v>
      </c>
      <c r="B174" s="29" t="s">
        <v>195</v>
      </c>
      <c r="C174" s="8" t="s">
        <v>531</v>
      </c>
      <c r="D174" s="8" t="s">
        <v>532</v>
      </c>
      <c r="E174" s="8" t="s">
        <v>533</v>
      </c>
      <c r="F174" s="8"/>
      <c r="G174" s="8" t="s">
        <v>62</v>
      </c>
      <c r="H174" s="8" t="s">
        <v>534</v>
      </c>
      <c r="I174" s="9">
        <v>1</v>
      </c>
      <c r="J174" s="8"/>
      <c r="K174" s="8"/>
      <c r="L174" s="8"/>
      <c r="M174" s="8"/>
      <c r="N174" s="8"/>
      <c r="O174" s="8"/>
      <c r="P174" s="60"/>
      <c r="R174" s="38" t="s">
        <v>1337</v>
      </c>
      <c r="S174" s="8"/>
      <c r="T174" s="8"/>
      <c r="U174" s="8"/>
      <c r="V174" s="8" t="s">
        <v>1191</v>
      </c>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c r="A187" s="8" t="s">
        <v>16</v>
      </c>
      <c r="B187" s="29" t="s">
        <v>274</v>
      </c>
      <c r="C187" s="8" t="s">
        <v>571</v>
      </c>
      <c r="D187" s="8" t="s">
        <v>572</v>
      </c>
      <c r="E187" s="8" t="s">
        <v>573</v>
      </c>
      <c r="F187" s="8"/>
      <c r="G187" s="8" t="s">
        <v>62</v>
      </c>
      <c r="H187" s="8" t="s">
        <v>574</v>
      </c>
      <c r="I187" s="9">
        <v>1</v>
      </c>
      <c r="J187" s="8"/>
      <c r="K187" s="8"/>
      <c r="L187" s="8"/>
      <c r="M187" s="8"/>
      <c r="N187" s="8"/>
      <c r="O187" s="8"/>
      <c r="P187" s="60"/>
      <c r="R187" s="38" t="s">
        <v>1338</v>
      </c>
      <c r="S187" s="8"/>
      <c r="T187" s="8"/>
      <c r="U187" s="8"/>
      <c r="V187" s="8" t="s">
        <v>1191</v>
      </c>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c r="A215" s="8" t="s">
        <v>18</v>
      </c>
      <c r="B215" s="29" t="s">
        <v>54</v>
      </c>
      <c r="C215" s="8" t="s">
        <v>640</v>
      </c>
      <c r="D215" s="8" t="s">
        <v>641</v>
      </c>
      <c r="E215" s="8" t="s">
        <v>642</v>
      </c>
      <c r="F215" s="8"/>
      <c r="G215" s="8" t="s">
        <v>62</v>
      </c>
      <c r="H215" s="8" t="s">
        <v>484</v>
      </c>
      <c r="I215" s="8" t="s">
        <v>485</v>
      </c>
      <c r="J215" s="8"/>
      <c r="K215" s="8"/>
      <c r="L215" s="8"/>
      <c r="M215" s="8"/>
      <c r="N215" s="8"/>
      <c r="O215" s="8"/>
      <c r="P215" s="60"/>
      <c r="R215" s="38" t="s">
        <v>1338</v>
      </c>
      <c r="S215" s="8"/>
      <c r="T215" s="8"/>
      <c r="U215" s="8"/>
      <c r="V215" s="8" t="s">
        <v>1191</v>
      </c>
      <c r="W215" s="8"/>
      <c r="X215" s="8"/>
      <c r="Y215" s="8"/>
      <c r="Z215" s="8"/>
      <c r="AA215" s="8"/>
    </row>
    <row r="216" spans="1:27" ht="63">
      <c r="A216" s="8" t="s">
        <v>18</v>
      </c>
      <c r="B216" s="29" t="s">
        <v>54</v>
      </c>
      <c r="C216" s="8" t="s">
        <v>643</v>
      </c>
      <c r="D216" s="8" t="s">
        <v>644</v>
      </c>
      <c r="E216" s="8" t="s">
        <v>645</v>
      </c>
      <c r="F216" s="8"/>
      <c r="G216" s="8" t="s">
        <v>62</v>
      </c>
      <c r="H216" s="8" t="s">
        <v>646</v>
      </c>
      <c r="I216" s="8" t="s">
        <v>85</v>
      </c>
      <c r="J216" s="8"/>
      <c r="K216" s="8"/>
      <c r="L216" s="8"/>
      <c r="M216" s="8"/>
      <c r="N216" s="8"/>
      <c r="O216" s="8"/>
      <c r="P216" s="60"/>
      <c r="R216" s="38" t="s">
        <v>1338</v>
      </c>
      <c r="S216" s="8"/>
      <c r="T216" s="8"/>
      <c r="U216" s="8"/>
      <c r="V216" s="8" t="s">
        <v>8</v>
      </c>
      <c r="W216" s="8"/>
      <c r="X216" s="8"/>
      <c r="Y216" s="8"/>
      <c r="Z216" s="8"/>
      <c r="AA216" s="8"/>
    </row>
    <row r="217" spans="1:27" ht="78.75">
      <c r="A217" s="8" t="s">
        <v>18</v>
      </c>
      <c r="B217" s="29" t="s">
        <v>54</v>
      </c>
      <c r="C217" s="8" t="s">
        <v>643</v>
      </c>
      <c r="D217" s="8" t="s">
        <v>647</v>
      </c>
      <c r="E217" s="8" t="s">
        <v>648</v>
      </c>
      <c r="F217" s="8"/>
      <c r="G217" s="8" t="s">
        <v>71</v>
      </c>
      <c r="H217" s="8" t="s">
        <v>649</v>
      </c>
      <c r="I217" s="9">
        <v>1</v>
      </c>
      <c r="J217" s="8"/>
      <c r="K217" s="8"/>
      <c r="L217" s="8"/>
      <c r="M217" s="8"/>
      <c r="N217" s="8"/>
      <c r="O217" s="8"/>
      <c r="P217" s="60"/>
      <c r="R217" s="38" t="s">
        <v>1338</v>
      </c>
      <c r="S217" s="8"/>
      <c r="T217" s="8"/>
      <c r="U217" s="8"/>
      <c r="V217" s="8" t="s">
        <v>8</v>
      </c>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56.25"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63">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t="s">
        <v>1339</v>
      </c>
      <c r="S258" s="8"/>
      <c r="T258" s="8"/>
      <c r="U258" s="8"/>
      <c r="V258" s="8" t="s">
        <v>1191</v>
      </c>
      <c r="W258" s="8"/>
      <c r="X258" s="8"/>
      <c r="Y258" s="8"/>
      <c r="Z258" s="8"/>
      <c r="AA258" s="8"/>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c r="S260" s="8"/>
      <c r="T260" s="8"/>
      <c r="U260" s="8"/>
      <c r="V260" s="8"/>
      <c r="W260" s="8"/>
      <c r="X260" s="8"/>
      <c r="Y260" s="8"/>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hidden="1">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c r="S265" s="8"/>
      <c r="T265" s="8"/>
      <c r="U265" s="8"/>
      <c r="V265" s="8"/>
      <c r="W265" s="8"/>
      <c r="X265" s="8"/>
      <c r="Y265" s="8"/>
      <c r="Z265" s="8"/>
      <c r="AA265" s="8"/>
    </row>
    <row r="266" spans="1:27" ht="31.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157.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63"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94.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189"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56.25"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56.25"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78.7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63"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t="s">
        <v>1339</v>
      </c>
      <c r="S321" s="8"/>
      <c r="T321" s="8"/>
      <c r="U321" s="8"/>
      <c r="V321" s="8" t="s">
        <v>1191</v>
      </c>
      <c r="W321" s="8"/>
      <c r="X321" s="8"/>
      <c r="Y321" s="8"/>
      <c r="Z321" s="8"/>
      <c r="AA321" s="8"/>
    </row>
    <row r="322" spans="1:51" ht="63">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t="s">
        <v>1339</v>
      </c>
      <c r="S322" s="8"/>
      <c r="T322" s="8"/>
      <c r="U322" s="8"/>
      <c r="V322" s="8" t="s">
        <v>1191</v>
      </c>
      <c r="W322" s="8"/>
      <c r="X322" s="8"/>
      <c r="Y322" s="8"/>
      <c r="Z322" s="8"/>
      <c r="AA322" s="8"/>
    </row>
    <row r="323" spans="1:51" ht="63">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t="s">
        <v>1339</v>
      </c>
      <c r="S323" s="8"/>
      <c r="T323" s="8"/>
      <c r="U323" s="8"/>
      <c r="V323" s="8" t="s">
        <v>1191</v>
      </c>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31.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56.25"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56.25"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t="s">
        <v>1339</v>
      </c>
      <c r="S383" s="8"/>
      <c r="T383" s="8"/>
      <c r="U383" s="8"/>
      <c r="V383" s="8" t="s">
        <v>8</v>
      </c>
      <c r="W383" s="8"/>
      <c r="X383" s="8"/>
      <c r="Y383" s="8"/>
      <c r="Z383" s="8"/>
      <c r="AA383" s="8"/>
    </row>
    <row r="384" spans="1:27" ht="126">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t="s">
        <v>1340</v>
      </c>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110.2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47.2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78.75"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63"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78.75"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82AA410E-D828-44DE-A03C-382B8BB950E9}">
    <filterColumn colId="17">
      <customFilters>
        <customFilter operator="notEqual" val=" "/>
      </customFilters>
    </filterColumn>
  </autoFilter>
  <dataValidations count="1">
    <dataValidation type="textLength" operator="lessThan" allowBlank="1" showInputMessage="1" showErrorMessage="1" sqref="P1:P432 AA1:AA432" xr:uid="{AFF0B978-DEC9-4159-9507-70F3D92C83C9}">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73FCBD00-64B9-4585-A1EF-16D48E36D4A8}">
          <x14:formula1>
            <xm:f>'Input sheet to hide '!$C$3:$C$6</xm:f>
          </x14:formula1>
          <xm:sqref>M4:M156 X3:X432</xm:sqref>
        </x14:dataValidation>
        <x14:dataValidation type="list" allowBlank="1" showInputMessage="1" showErrorMessage="1" xr:uid="{36ECC8A3-A34A-4166-AB10-2D9C2DA8C0D6}">
          <x14:formula1>
            <xm:f>'Input sheet to hide '!$B$3:$B$5</xm:f>
          </x14:formula1>
          <xm:sqref>J4:J156 V3:V432</xm:sqref>
        </x14:dataValidation>
        <x14:dataValidation type="list" allowBlank="1" showInputMessage="1" showErrorMessage="1" xr:uid="{71B5EF59-4EE4-4CE1-8ACB-583D88FFFF65}">
          <x14:formula1>
            <xm:f>'CP Response Overview'!#REF!</xm:f>
          </x14:formula1>
          <xm:sqref>F432 F274:F297 F420:F421 F415:F418 F403:F413 F387:F399 F344:F385 F336:F341 F333:F334 F300:F331 F191:F235 F237:F272 F3:F189 U3:U432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70700-FB54-4DAA-8D20-7AD34AFFFBED}">
  <sheetPr filterMode="1"/>
  <dimension ref="A1:AY597"/>
  <sheetViews>
    <sheetView zoomScale="80" zoomScaleNormal="80" workbookViewId="0">
      <selection activeCell="R323" sqref="R323"/>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8"/>
      <c r="M8" s="8"/>
      <c r="N8" s="8"/>
      <c r="O8" s="8"/>
      <c r="P8" s="60"/>
      <c r="R8" s="38"/>
      <c r="S8" s="8"/>
      <c r="T8" s="8"/>
      <c r="U8" s="8"/>
      <c r="V8" s="8"/>
      <c r="W8" s="8"/>
      <c r="X8" s="8"/>
      <c r="Y8" s="8"/>
      <c r="Z8" s="8"/>
      <c r="AA8" s="8"/>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hidden="1">
      <c r="A12" s="8" t="s">
        <v>53</v>
      </c>
      <c r="B12" s="29" t="s">
        <v>54</v>
      </c>
      <c r="C12" s="8" t="s">
        <v>81</v>
      </c>
      <c r="D12" s="8" t="s">
        <v>86</v>
      </c>
      <c r="E12" s="69" t="s">
        <v>87</v>
      </c>
      <c r="F12" s="8"/>
      <c r="G12" s="8" t="s">
        <v>62</v>
      </c>
      <c r="H12" s="8" t="s">
        <v>84</v>
      </c>
      <c r="I12" s="8" t="s">
        <v>85</v>
      </c>
      <c r="J12" s="8"/>
      <c r="K12" s="8"/>
      <c r="L12" s="8"/>
      <c r="M12" s="8"/>
      <c r="N12" s="8"/>
      <c r="O12" s="8"/>
      <c r="P12" s="60"/>
      <c r="R12" s="38"/>
      <c r="S12" s="8"/>
      <c r="T12" s="8"/>
      <c r="U12" s="8"/>
      <c r="V12" s="8"/>
      <c r="W12" s="8"/>
      <c r="X12" s="8"/>
      <c r="Y12" s="8"/>
      <c r="Z12" s="8"/>
      <c r="AA12" s="8"/>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63" hidden="1">
      <c r="A14" s="8" t="s">
        <v>53</v>
      </c>
      <c r="B14" s="29" t="s">
        <v>54</v>
      </c>
      <c r="C14" s="8" t="s">
        <v>81</v>
      </c>
      <c r="D14" s="8" t="s">
        <v>90</v>
      </c>
      <c r="E14" s="69" t="s">
        <v>91</v>
      </c>
      <c r="F14" s="8"/>
      <c r="G14" s="8" t="s">
        <v>62</v>
      </c>
      <c r="H14" s="8" t="s">
        <v>84</v>
      </c>
      <c r="I14" s="8" t="s">
        <v>85</v>
      </c>
      <c r="J14" s="8"/>
      <c r="K14" s="8"/>
      <c r="L14" s="8"/>
      <c r="M14" s="8"/>
      <c r="N14" s="8"/>
      <c r="O14" s="8"/>
      <c r="P14" s="60"/>
      <c r="R14" s="38"/>
      <c r="S14" s="8"/>
      <c r="T14" s="8"/>
      <c r="U14" s="8"/>
      <c r="V14" s="8"/>
      <c r="W14" s="8"/>
      <c r="X14" s="8"/>
      <c r="Y14" s="8"/>
      <c r="Z14" s="8"/>
      <c r="AA14" s="8"/>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hidden="1" customHeight="1">
      <c r="A21" s="8" t="s">
        <v>53</v>
      </c>
      <c r="B21" s="29" t="s">
        <v>54</v>
      </c>
      <c r="C21" s="8" t="s">
        <v>81</v>
      </c>
      <c r="D21" s="8" t="s">
        <v>104</v>
      </c>
      <c r="E21" s="8" t="s">
        <v>105</v>
      </c>
      <c r="F21" s="8"/>
      <c r="G21" s="8" t="s">
        <v>62</v>
      </c>
      <c r="H21" s="8" t="s">
        <v>106</v>
      </c>
      <c r="I21" s="9">
        <v>1</v>
      </c>
      <c r="J21" s="9"/>
      <c r="K21" s="11"/>
      <c r="L21" s="9"/>
      <c r="M21" s="9"/>
      <c r="N21" s="9"/>
      <c r="O21" s="9"/>
      <c r="P21" s="60"/>
      <c r="Q21" s="47"/>
      <c r="R21" s="37"/>
      <c r="S21" s="9"/>
      <c r="T21" s="9"/>
      <c r="U21" s="9"/>
      <c r="V21" s="9"/>
      <c r="W21" s="9"/>
      <c r="X21" s="9"/>
      <c r="Y21" s="9"/>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204.75">
      <c r="A161" s="8" t="s">
        <v>16</v>
      </c>
      <c r="B161" s="29" t="s">
        <v>54</v>
      </c>
      <c r="C161" s="8" t="s">
        <v>486</v>
      </c>
      <c r="D161" s="8" t="s">
        <v>499</v>
      </c>
      <c r="E161" s="69" t="s">
        <v>500</v>
      </c>
      <c r="F161" s="8"/>
      <c r="G161" s="8" t="s">
        <v>62</v>
      </c>
      <c r="H161" s="8" t="s">
        <v>493</v>
      </c>
      <c r="I161" s="8" t="s">
        <v>494</v>
      </c>
      <c r="J161" s="8"/>
      <c r="K161" s="8"/>
      <c r="L161" s="8"/>
      <c r="M161" s="8"/>
      <c r="N161" s="8"/>
      <c r="O161" s="8"/>
      <c r="P161" s="60"/>
      <c r="R161" s="38" t="s">
        <v>1341</v>
      </c>
      <c r="S161" s="8" t="s">
        <v>1342</v>
      </c>
      <c r="T161" s="8" t="s">
        <v>1343</v>
      </c>
      <c r="U161" s="8" t="s">
        <v>1344</v>
      </c>
      <c r="V161" s="8" t="s">
        <v>1345</v>
      </c>
      <c r="W161" s="8">
        <v>2022</v>
      </c>
      <c r="X161" s="8" t="s">
        <v>1346</v>
      </c>
      <c r="Y161" s="8" t="s">
        <v>1347</v>
      </c>
      <c r="Z161" s="8"/>
      <c r="AA161" s="8" t="s">
        <v>1348</v>
      </c>
    </row>
    <row r="162" spans="1:27" ht="204.75">
      <c r="A162" s="8" t="s">
        <v>16</v>
      </c>
      <c r="B162" s="29" t="s">
        <v>54</v>
      </c>
      <c r="C162" s="8" t="s">
        <v>486</v>
      </c>
      <c r="D162" s="8" t="s">
        <v>501</v>
      </c>
      <c r="E162" s="69" t="s">
        <v>502</v>
      </c>
      <c r="F162" s="8"/>
      <c r="G162" s="8" t="s">
        <v>62</v>
      </c>
      <c r="H162" s="8" t="s">
        <v>493</v>
      </c>
      <c r="I162" s="8" t="s">
        <v>494</v>
      </c>
      <c r="J162" s="8"/>
      <c r="K162" s="8"/>
      <c r="L162" s="8"/>
      <c r="M162" s="8"/>
      <c r="N162" s="8"/>
      <c r="O162" s="8"/>
      <c r="P162" s="60"/>
      <c r="R162" s="38" t="s">
        <v>1341</v>
      </c>
      <c r="S162" s="8" t="s">
        <v>1342</v>
      </c>
      <c r="T162" s="8" t="s">
        <v>1343</v>
      </c>
      <c r="U162" s="8" t="s">
        <v>1344</v>
      </c>
      <c r="V162" s="8" t="s">
        <v>1345</v>
      </c>
      <c r="W162" s="8">
        <v>2022</v>
      </c>
      <c r="X162" s="8" t="s">
        <v>1346</v>
      </c>
      <c r="Y162" s="8" t="s">
        <v>1347</v>
      </c>
      <c r="Z162" s="8"/>
      <c r="AA162" s="8" t="s">
        <v>1348</v>
      </c>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94.5">
      <c r="A189" s="8" t="s">
        <v>16</v>
      </c>
      <c r="B189" s="29" t="s">
        <v>274</v>
      </c>
      <c r="C189" s="8" t="s">
        <v>571</v>
      </c>
      <c r="D189" s="8" t="s">
        <v>578</v>
      </c>
      <c r="E189" s="8" t="s">
        <v>579</v>
      </c>
      <c r="F189" s="8"/>
      <c r="G189" s="8" t="s">
        <v>62</v>
      </c>
      <c r="H189" s="8" t="s">
        <v>580</v>
      </c>
      <c r="I189" s="9">
        <v>1</v>
      </c>
      <c r="J189" s="8"/>
      <c r="K189" s="8"/>
      <c r="L189" s="8"/>
      <c r="M189" s="8"/>
      <c r="N189" s="8"/>
      <c r="O189" s="8"/>
      <c r="P189" s="60"/>
      <c r="R189" s="38" t="s">
        <v>1349</v>
      </c>
      <c r="S189" s="8" t="s">
        <v>1350</v>
      </c>
      <c r="T189" s="8" t="s">
        <v>1351</v>
      </c>
      <c r="U189" s="8" t="s">
        <v>1352</v>
      </c>
      <c r="V189" s="8" t="s">
        <v>1353</v>
      </c>
      <c r="W189" s="8">
        <v>2023</v>
      </c>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56.25"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63" hidden="1">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c r="S258" s="8"/>
      <c r="T258" s="8"/>
      <c r="U258" s="8"/>
      <c r="V258" s="8"/>
      <c r="W258" s="8"/>
      <c r="X258" s="8"/>
      <c r="Y258" s="8"/>
      <c r="Z258" s="8"/>
      <c r="AA258" s="8"/>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c r="S260" s="8"/>
      <c r="T260" s="8"/>
      <c r="U260" s="8"/>
      <c r="V260" s="8"/>
      <c r="W260" s="8"/>
      <c r="X260" s="8"/>
      <c r="Y260" s="8"/>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hidden="1">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c r="S265" s="8"/>
      <c r="T265" s="8"/>
      <c r="U265" s="8"/>
      <c r="V265" s="8"/>
      <c r="W265" s="8"/>
      <c r="X265" s="8"/>
      <c r="Y265" s="8"/>
      <c r="Z265" s="8"/>
      <c r="AA265" s="8"/>
    </row>
    <row r="266" spans="1:27" ht="31.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157.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63"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94.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189"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56.25"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56.25"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78.7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63"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31.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56.25"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56.25"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31.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56.25"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56.25"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63"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47.25"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56.25"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A7F70700-FB54-4DAA-8D20-7AD34AFFFBED}">
    <filterColumn colId="17">
      <customFilters>
        <customFilter operator="notEqual" val=" "/>
      </customFilters>
    </filterColumn>
  </autoFilter>
  <dataValidations count="1">
    <dataValidation type="textLength" operator="lessThan" allowBlank="1" showInputMessage="1" showErrorMessage="1" sqref="P1:P432 AA1:AA432" xr:uid="{519A8C9E-815B-455C-95A9-318524B14FAA}">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FEB65C85-384D-45B8-97A2-972D8E249BAD}">
          <x14:formula1>
            <xm:f>'Input sheet to hide '!$C$3:$C$6</xm:f>
          </x14:formula1>
          <xm:sqref>M4:M156 X3:X432</xm:sqref>
        </x14:dataValidation>
        <x14:dataValidation type="list" allowBlank="1" showInputMessage="1" showErrorMessage="1" xr:uid="{A7F2D27F-1D33-4B27-8B92-810C8B673B26}">
          <x14:formula1>
            <xm:f>'Input sheet to hide '!$B$3:$B$5</xm:f>
          </x14:formula1>
          <xm:sqref>J4:J156 V3:V432</xm:sqref>
        </x14:dataValidation>
        <x14:dataValidation type="list" allowBlank="1" showInputMessage="1" showErrorMessage="1" xr:uid="{CFE3D8E5-ED25-4B5B-9ECA-4A2E9EEFAFBF}">
          <x14:formula1>
            <xm:f>'CP Response Overview'!#REF!</xm:f>
          </x14:formula1>
          <xm:sqref>F432 F274:F297 F420:F421 F415:F418 F403:F413 F387:F399 F344:F385 F336:F341 F333:F334 F300:F331 F191:F235 F237:F272 F3:F189 U3:U432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F08B7-0C9C-40CE-AB17-DC3831310629}">
  <sheetPr filterMode="1"/>
  <dimension ref="A1:AY597"/>
  <sheetViews>
    <sheetView zoomScale="70" zoomScaleNormal="70" workbookViewId="0">
      <selection activeCell="R323" sqref="R323"/>
    </sheetView>
  </sheetViews>
  <sheetFormatPr defaultColWidth="9.140625" defaultRowHeight="28.5" customHeight="1"/>
  <cols>
    <col min="1" max="1" width="9.140625" style="1"/>
    <col min="2" max="2" width="8" style="34" customWidth="1"/>
    <col min="3" max="3" width="13.5703125" style="3" customWidth="1"/>
    <col min="4" max="4" width="10" style="3" customWidth="1"/>
    <col min="5" max="5" width="60.42578125" style="1" customWidth="1"/>
    <col min="6" max="6" width="25.85546875" style="1" hidden="1" customWidth="1"/>
    <col min="7" max="7" width="12.85546875" style="1" hidden="1" customWidth="1"/>
    <col min="8" max="8" width="22.5703125" style="1" hidden="1" customWidth="1"/>
    <col min="9" max="9" width="14.5703125" style="1" hidden="1" customWidth="1"/>
    <col min="10" max="11" width="19.5703125" style="1" hidden="1" customWidth="1"/>
    <col min="12" max="13" width="16.140625" style="1" hidden="1" customWidth="1"/>
    <col min="14" max="14" width="20.5703125" style="1" hidden="1" customWidth="1"/>
    <col min="15" max="15" width="19.85546875" style="1" hidden="1" customWidth="1"/>
    <col min="16" max="16" width="20.85546875" style="1" hidden="1" customWidth="1"/>
    <col min="17" max="17" width="9.140625" style="46" customWidth="1"/>
    <col min="18" max="25" width="14.140625" style="26" customWidth="1"/>
    <col min="26" max="26" width="14.140625" style="518" customWidth="1"/>
    <col min="27" max="27" width="20.85546875" style="1" customWidth="1"/>
    <col min="28" max="51" width="9.140625" style="26"/>
    <col min="52" max="16384" width="9.140625" style="1"/>
  </cols>
  <sheetData>
    <row r="1" spans="1:27" s="26" customFormat="1" ht="28.5" customHeight="1">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500" t="s">
        <v>51</v>
      </c>
      <c r="AA1" s="7" t="s">
        <v>43</v>
      </c>
    </row>
    <row r="2" spans="1:27" s="26" customFormat="1" ht="28.5" hidden="1" customHeight="1">
      <c r="A2" s="97" t="s">
        <v>52</v>
      </c>
      <c r="B2" s="91"/>
      <c r="C2" s="92"/>
      <c r="D2" s="92"/>
      <c r="E2" s="93"/>
      <c r="F2" s="93"/>
      <c r="G2" s="93"/>
      <c r="H2" s="93"/>
      <c r="I2" s="93"/>
      <c r="J2" s="93"/>
      <c r="K2" s="93"/>
      <c r="L2" s="93"/>
      <c r="M2" s="93"/>
      <c r="N2" s="93"/>
      <c r="O2" s="93"/>
      <c r="P2" s="94"/>
      <c r="Q2" s="95"/>
      <c r="R2" s="96"/>
      <c r="S2" s="93"/>
      <c r="T2" s="93"/>
      <c r="U2" s="93"/>
      <c r="V2" s="93"/>
      <c r="W2" s="93"/>
      <c r="X2" s="93"/>
      <c r="Y2" s="93"/>
      <c r="Z2" s="501"/>
      <c r="AA2" s="93"/>
    </row>
    <row r="3" spans="1:27" s="26" customFormat="1" ht="31.5" hidden="1">
      <c r="A3" s="8" t="s">
        <v>53</v>
      </c>
      <c r="B3" s="29" t="s">
        <v>54</v>
      </c>
      <c r="C3" s="8" t="s">
        <v>55</v>
      </c>
      <c r="D3" s="8" t="s">
        <v>56</v>
      </c>
      <c r="E3" s="8" t="s">
        <v>57</v>
      </c>
      <c r="F3" s="8"/>
      <c r="G3" s="20" t="s">
        <v>58</v>
      </c>
      <c r="H3" s="20" t="s">
        <v>59</v>
      </c>
      <c r="I3" s="22">
        <v>1</v>
      </c>
      <c r="J3" s="20"/>
      <c r="K3" s="20"/>
      <c r="L3" s="20"/>
      <c r="M3" s="20"/>
      <c r="N3" s="20"/>
      <c r="O3" s="20"/>
      <c r="P3" s="35"/>
      <c r="Q3" s="46"/>
      <c r="R3" s="39"/>
      <c r="S3" s="20"/>
      <c r="T3" s="20"/>
      <c r="U3" s="20"/>
      <c r="V3" s="20"/>
      <c r="W3" s="20"/>
      <c r="X3" s="20"/>
      <c r="Y3" s="20"/>
      <c r="Z3" s="20"/>
      <c r="AA3" s="20"/>
    </row>
    <row r="4" spans="1:27" s="26" customFormat="1" ht="28.5" customHeight="1">
      <c r="A4" s="8" t="s">
        <v>53</v>
      </c>
      <c r="B4" s="29" t="s">
        <v>54</v>
      </c>
      <c r="C4" s="8" t="s">
        <v>55</v>
      </c>
      <c r="D4" s="8" t="s">
        <v>60</v>
      </c>
      <c r="E4" s="69" t="s">
        <v>61</v>
      </c>
      <c r="F4" s="8"/>
      <c r="G4" s="8" t="s">
        <v>62</v>
      </c>
      <c r="H4" s="8" t="s">
        <v>59</v>
      </c>
      <c r="I4" s="9">
        <v>1</v>
      </c>
      <c r="J4" s="9"/>
      <c r="K4" s="9"/>
      <c r="L4" s="9"/>
      <c r="M4" s="9"/>
      <c r="N4" s="9"/>
      <c r="O4" s="9"/>
      <c r="P4" s="60"/>
      <c r="Q4" s="47"/>
      <c r="R4" s="37" t="s">
        <v>1354</v>
      </c>
      <c r="S4" s="9" t="s">
        <v>1355</v>
      </c>
      <c r="T4" s="9" t="s">
        <v>1356</v>
      </c>
      <c r="U4" s="9" t="s">
        <v>1357</v>
      </c>
      <c r="V4" s="9" t="s">
        <v>1191</v>
      </c>
      <c r="W4" s="150" t="s">
        <v>1358</v>
      </c>
      <c r="X4" s="9" t="s">
        <v>9</v>
      </c>
      <c r="Y4" s="150" t="s">
        <v>1359</v>
      </c>
      <c r="Z4" s="502">
        <v>36000</v>
      </c>
      <c r="AA4" s="8" t="s">
        <v>1360</v>
      </c>
    </row>
    <row r="5" spans="1:27" s="26" customFormat="1" ht="28.5" customHeight="1">
      <c r="A5" s="8" t="s">
        <v>53</v>
      </c>
      <c r="B5" s="29" t="s">
        <v>54</v>
      </c>
      <c r="C5" s="8" t="s">
        <v>55</v>
      </c>
      <c r="D5" s="8" t="s">
        <v>63</v>
      </c>
      <c r="E5" s="69" t="s">
        <v>64</v>
      </c>
      <c r="F5" s="8"/>
      <c r="G5" s="8" t="s">
        <v>62</v>
      </c>
      <c r="H5" s="8" t="s">
        <v>59</v>
      </c>
      <c r="I5" s="9">
        <v>1</v>
      </c>
      <c r="J5" s="9"/>
      <c r="K5" s="9"/>
      <c r="L5" s="9"/>
      <c r="M5" s="9"/>
      <c r="N5" s="9"/>
      <c r="O5" s="9"/>
      <c r="P5" s="60"/>
      <c r="Q5" s="47"/>
      <c r="R5" s="37" t="s">
        <v>1361</v>
      </c>
      <c r="S5" s="9" t="s">
        <v>1355</v>
      </c>
      <c r="T5" s="9" t="s">
        <v>1362</v>
      </c>
      <c r="U5" s="9" t="s">
        <v>1363</v>
      </c>
      <c r="V5" s="9" t="s">
        <v>1191</v>
      </c>
      <c r="W5" s="150" t="s">
        <v>1364</v>
      </c>
      <c r="X5" s="9" t="s">
        <v>9</v>
      </c>
      <c r="Y5" s="9" t="s">
        <v>1365</v>
      </c>
      <c r="Z5" s="502" t="s">
        <v>1366</v>
      </c>
      <c r="AA5" s="8"/>
    </row>
    <row r="6" spans="1:27" s="26" customFormat="1" ht="28.5" hidden="1" customHeight="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503"/>
      <c r="AA6" s="8"/>
    </row>
    <row r="7" spans="1:27" s="26" customFormat="1" ht="28.5" hidden="1" customHeight="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503"/>
      <c r="AA7" s="8"/>
    </row>
    <row r="8" spans="1:27" s="26" customFormat="1" ht="28.5" hidden="1" customHeight="1">
      <c r="A8" s="8" t="s">
        <v>53</v>
      </c>
      <c r="B8" s="29" t="s">
        <v>54</v>
      </c>
      <c r="C8" s="8" t="s">
        <v>55</v>
      </c>
      <c r="D8" s="8" t="s">
        <v>69</v>
      </c>
      <c r="E8" s="8" t="s">
        <v>70</v>
      </c>
      <c r="F8" s="8"/>
      <c r="G8" s="8" t="s">
        <v>71</v>
      </c>
      <c r="H8" s="8" t="s">
        <v>72</v>
      </c>
      <c r="I8" s="8" t="s">
        <v>73</v>
      </c>
      <c r="J8" s="8"/>
      <c r="K8" s="8"/>
      <c r="L8" s="8"/>
      <c r="M8" s="8"/>
      <c r="N8" s="8"/>
      <c r="O8" s="8"/>
      <c r="P8" s="60"/>
      <c r="Q8" s="46"/>
      <c r="R8" s="38"/>
      <c r="S8" s="8"/>
      <c r="T8" s="8"/>
      <c r="U8" s="8"/>
      <c r="V8" s="8"/>
      <c r="W8" s="8"/>
      <c r="X8" s="8"/>
      <c r="Y8" s="8"/>
      <c r="Z8" s="503"/>
      <c r="AA8" s="8"/>
    </row>
    <row r="9" spans="1:27" s="26" customFormat="1" ht="28.5" customHeight="1">
      <c r="A9" s="8" t="s">
        <v>53</v>
      </c>
      <c r="B9" s="29" t="s">
        <v>54</v>
      </c>
      <c r="C9" s="8" t="s">
        <v>55</v>
      </c>
      <c r="D9" s="8" t="s">
        <v>74</v>
      </c>
      <c r="E9" s="8" t="s">
        <v>75</v>
      </c>
      <c r="F9" s="8"/>
      <c r="G9" s="8" t="s">
        <v>71</v>
      </c>
      <c r="H9" s="8" t="s">
        <v>76</v>
      </c>
      <c r="I9" s="8" t="s">
        <v>77</v>
      </c>
      <c r="J9" s="8"/>
      <c r="K9" s="10"/>
      <c r="L9" s="8"/>
      <c r="M9" s="8"/>
      <c r="N9" s="8"/>
      <c r="O9" s="8"/>
      <c r="P9" s="60"/>
      <c r="Q9" s="46"/>
      <c r="R9" s="151" t="s">
        <v>1367</v>
      </c>
      <c r="S9" s="8" t="s">
        <v>1355</v>
      </c>
      <c r="T9" s="152" t="s">
        <v>1368</v>
      </c>
      <c r="U9" s="8" t="s">
        <v>1369</v>
      </c>
      <c r="V9" s="8" t="s">
        <v>1191</v>
      </c>
      <c r="W9" s="152" t="s">
        <v>1370</v>
      </c>
      <c r="X9" s="8" t="s">
        <v>9</v>
      </c>
      <c r="Y9" s="8" t="s">
        <v>1371</v>
      </c>
      <c r="Z9" s="503">
        <v>0</v>
      </c>
      <c r="AA9" s="8"/>
    </row>
    <row r="10" spans="1:27" s="26" customFormat="1" ht="28.5" hidden="1" customHeight="1">
      <c r="A10" s="8" t="s">
        <v>53</v>
      </c>
      <c r="B10" s="29" t="s">
        <v>54</v>
      </c>
      <c r="C10" s="8" t="s">
        <v>55</v>
      </c>
      <c r="D10" s="8" t="s">
        <v>78</v>
      </c>
      <c r="E10" s="8" t="s">
        <v>79</v>
      </c>
      <c r="F10" s="8"/>
      <c r="G10" s="8" t="s">
        <v>62</v>
      </c>
      <c r="H10" s="8" t="s">
        <v>80</v>
      </c>
      <c r="I10" s="8">
        <v>5</v>
      </c>
      <c r="J10" s="8"/>
      <c r="K10" s="8"/>
      <c r="L10" s="8"/>
      <c r="M10" s="8"/>
      <c r="N10" s="8"/>
      <c r="O10" s="8"/>
      <c r="P10" s="60"/>
      <c r="Q10" s="46"/>
      <c r="R10" s="38"/>
      <c r="S10" s="8"/>
      <c r="T10" s="8"/>
      <c r="U10" s="8"/>
      <c r="V10" s="8"/>
      <c r="W10" s="8"/>
      <c r="X10" s="8"/>
      <c r="Y10" s="8"/>
      <c r="Z10" s="503"/>
      <c r="AA10" s="8"/>
    </row>
    <row r="11" spans="1:27" s="26" customFormat="1" ht="28.5" hidden="1" customHeight="1">
      <c r="A11" s="8" t="s">
        <v>53</v>
      </c>
      <c r="B11" s="29" t="s">
        <v>54</v>
      </c>
      <c r="C11" s="8" t="s">
        <v>81</v>
      </c>
      <c r="D11" s="8" t="s">
        <v>82</v>
      </c>
      <c r="E11" s="8" t="s">
        <v>83</v>
      </c>
      <c r="F11" s="8"/>
      <c r="G11" s="20" t="s">
        <v>62</v>
      </c>
      <c r="H11" s="20" t="s">
        <v>84</v>
      </c>
      <c r="I11" s="20" t="s">
        <v>85</v>
      </c>
      <c r="J11" s="20"/>
      <c r="K11" s="20"/>
      <c r="L11" s="20"/>
      <c r="M11" s="20"/>
      <c r="N11" s="20"/>
      <c r="O11" s="20"/>
      <c r="P11" s="35"/>
      <c r="Q11" s="46"/>
      <c r="R11" s="39"/>
      <c r="S11" s="20"/>
      <c r="T11" s="20"/>
      <c r="U11" s="20"/>
      <c r="V11" s="20"/>
      <c r="W11" s="20"/>
      <c r="X11" s="20"/>
      <c r="Y11" s="20"/>
      <c r="Z11" s="504"/>
      <c r="AA11" s="20"/>
    </row>
    <row r="12" spans="1:27" s="26" customFormat="1" ht="28.5" customHeight="1">
      <c r="A12" s="8" t="s">
        <v>53</v>
      </c>
      <c r="B12" s="29" t="s">
        <v>54</v>
      </c>
      <c r="C12" s="8" t="s">
        <v>81</v>
      </c>
      <c r="D12" s="8" t="s">
        <v>86</v>
      </c>
      <c r="E12" s="69" t="s">
        <v>87</v>
      </c>
      <c r="F12" s="8"/>
      <c r="G12" s="8" t="s">
        <v>62</v>
      </c>
      <c r="H12" s="8" t="s">
        <v>84</v>
      </c>
      <c r="I12" s="8" t="s">
        <v>85</v>
      </c>
      <c r="J12" s="8"/>
      <c r="K12" s="8"/>
      <c r="L12" s="8"/>
      <c r="M12" s="8"/>
      <c r="N12" s="8"/>
      <c r="O12" s="8"/>
      <c r="P12" s="60"/>
      <c r="Q12" s="46"/>
      <c r="R12" s="38" t="s">
        <v>1372</v>
      </c>
      <c r="S12" s="8" t="s">
        <v>1373</v>
      </c>
      <c r="T12" s="8" t="s">
        <v>1374</v>
      </c>
      <c r="U12" s="8" t="s">
        <v>1363</v>
      </c>
      <c r="V12" s="8" t="s">
        <v>1191</v>
      </c>
      <c r="W12" s="8">
        <v>2022</v>
      </c>
      <c r="X12" s="8" t="s">
        <v>10</v>
      </c>
      <c r="Y12" s="8"/>
      <c r="Z12" s="503">
        <v>20000</v>
      </c>
      <c r="AA12" s="8" t="s">
        <v>1375</v>
      </c>
    </row>
    <row r="13" spans="1:27" s="26" customFormat="1" ht="28.5" hidden="1" customHeight="1">
      <c r="A13" s="8" t="s">
        <v>53</v>
      </c>
      <c r="B13" s="29" t="s">
        <v>54</v>
      </c>
      <c r="C13" s="8" t="s">
        <v>81</v>
      </c>
      <c r="D13" s="8" t="s">
        <v>88</v>
      </c>
      <c r="E13" s="69" t="s">
        <v>89</v>
      </c>
      <c r="F13" s="8"/>
      <c r="G13" s="8" t="s">
        <v>62</v>
      </c>
      <c r="H13" s="8" t="s">
        <v>84</v>
      </c>
      <c r="I13" s="8" t="s">
        <v>85</v>
      </c>
      <c r="J13" s="8"/>
      <c r="K13" s="8"/>
      <c r="L13" s="8"/>
      <c r="M13" s="8"/>
      <c r="N13" s="8"/>
      <c r="O13" s="8"/>
      <c r="P13" s="60"/>
      <c r="Q13" s="46"/>
      <c r="R13" s="38"/>
      <c r="S13" s="8"/>
      <c r="T13" s="8"/>
      <c r="U13" s="8"/>
      <c r="V13" s="8"/>
      <c r="W13" s="8"/>
      <c r="X13" s="8"/>
      <c r="Y13" s="8"/>
      <c r="Z13" s="503"/>
      <c r="AA13" s="8"/>
    </row>
    <row r="14" spans="1:27" s="26" customFormat="1" ht="28.5" customHeight="1">
      <c r="A14" s="8" t="s">
        <v>53</v>
      </c>
      <c r="B14" s="29" t="s">
        <v>54</v>
      </c>
      <c r="C14" s="8" t="s">
        <v>81</v>
      </c>
      <c r="D14" s="8" t="s">
        <v>90</v>
      </c>
      <c r="E14" s="69" t="s">
        <v>91</v>
      </c>
      <c r="F14" s="8"/>
      <c r="G14" s="8" t="s">
        <v>62</v>
      </c>
      <c r="H14" s="8" t="s">
        <v>84</v>
      </c>
      <c r="I14" s="8" t="s">
        <v>85</v>
      </c>
      <c r="J14" s="8"/>
      <c r="K14" s="8"/>
      <c r="L14" s="8"/>
      <c r="M14" s="8"/>
      <c r="N14" s="8"/>
      <c r="O14" s="8"/>
      <c r="P14" s="60"/>
      <c r="Q14" s="46"/>
      <c r="R14" s="38" t="s">
        <v>1376</v>
      </c>
      <c r="S14" s="8" t="s">
        <v>1355</v>
      </c>
      <c r="T14" s="8" t="s">
        <v>1377</v>
      </c>
      <c r="U14" s="8" t="s">
        <v>1363</v>
      </c>
      <c r="V14" s="8" t="s">
        <v>1191</v>
      </c>
      <c r="W14" s="8">
        <v>2022</v>
      </c>
      <c r="X14" s="8" t="s">
        <v>10</v>
      </c>
      <c r="Y14" s="8"/>
      <c r="Z14" s="503">
        <v>14000</v>
      </c>
      <c r="AA14" s="8"/>
    </row>
    <row r="15" spans="1:27" s="26" customFormat="1" ht="28.5" hidden="1" customHeight="1">
      <c r="A15" s="8" t="s">
        <v>53</v>
      </c>
      <c r="B15" s="29" t="s">
        <v>54</v>
      </c>
      <c r="C15" s="8" t="s">
        <v>81</v>
      </c>
      <c r="D15" s="8" t="s">
        <v>92</v>
      </c>
      <c r="E15" s="69" t="s">
        <v>93</v>
      </c>
      <c r="F15" s="8"/>
      <c r="G15" s="8" t="s">
        <v>62</v>
      </c>
      <c r="H15" s="8" t="s">
        <v>84</v>
      </c>
      <c r="I15" s="8" t="s">
        <v>85</v>
      </c>
      <c r="J15" s="8"/>
      <c r="K15" s="8"/>
      <c r="L15" s="8"/>
      <c r="M15" s="8"/>
      <c r="N15" s="8"/>
      <c r="O15" s="8"/>
      <c r="P15" s="60"/>
      <c r="Q15" s="46"/>
      <c r="R15" s="38"/>
      <c r="S15" s="8"/>
      <c r="T15" s="8"/>
      <c r="U15" s="8"/>
      <c r="V15" s="8"/>
      <c r="W15" s="8"/>
      <c r="X15" s="8"/>
      <c r="Y15" s="8"/>
      <c r="Z15" s="503"/>
      <c r="AA15" s="8"/>
    </row>
    <row r="16" spans="1:27" s="26" customFormat="1" ht="28.5" hidden="1" customHeight="1">
      <c r="A16" s="8" t="s">
        <v>53</v>
      </c>
      <c r="B16" s="29" t="s">
        <v>54</v>
      </c>
      <c r="C16" s="8" t="s">
        <v>81</v>
      </c>
      <c r="D16" s="8" t="s">
        <v>94</v>
      </c>
      <c r="E16" s="69" t="s">
        <v>95</v>
      </c>
      <c r="F16" s="8"/>
      <c r="G16" s="8" t="s">
        <v>62</v>
      </c>
      <c r="H16" s="8" t="s">
        <v>84</v>
      </c>
      <c r="I16" s="8" t="s">
        <v>85</v>
      </c>
      <c r="J16" s="8"/>
      <c r="K16" s="8"/>
      <c r="L16" s="8"/>
      <c r="M16" s="8"/>
      <c r="N16" s="8"/>
      <c r="O16" s="8"/>
      <c r="P16" s="60"/>
      <c r="Q16" s="46"/>
      <c r="R16" s="38"/>
      <c r="S16" s="8"/>
      <c r="T16" s="8"/>
      <c r="U16" s="8"/>
      <c r="V16" s="8"/>
      <c r="W16" s="8"/>
      <c r="X16" s="8"/>
      <c r="Y16" s="8"/>
      <c r="Z16" s="503"/>
      <c r="AA16" s="8"/>
    </row>
    <row r="17" spans="1:27" s="26" customFormat="1" ht="28.5" hidden="1" customHeight="1">
      <c r="A17" s="8" t="s">
        <v>53</v>
      </c>
      <c r="B17" s="29" t="s">
        <v>54</v>
      </c>
      <c r="C17" s="8" t="s">
        <v>81</v>
      </c>
      <c r="D17" s="8" t="s">
        <v>96</v>
      </c>
      <c r="E17" s="69" t="s">
        <v>97</v>
      </c>
      <c r="F17" s="8"/>
      <c r="G17" s="8" t="s">
        <v>62</v>
      </c>
      <c r="H17" s="8" t="s">
        <v>84</v>
      </c>
      <c r="I17" s="8" t="s">
        <v>85</v>
      </c>
      <c r="J17" s="8"/>
      <c r="K17" s="8"/>
      <c r="L17" s="8"/>
      <c r="M17" s="8"/>
      <c r="N17" s="8"/>
      <c r="O17" s="8"/>
      <c r="P17" s="60"/>
      <c r="Q17" s="46"/>
      <c r="R17" s="38"/>
      <c r="S17" s="8"/>
      <c r="T17" s="8"/>
      <c r="U17" s="8"/>
      <c r="V17" s="8"/>
      <c r="W17" s="8"/>
      <c r="X17" s="8"/>
      <c r="Y17" s="8"/>
      <c r="Z17" s="503"/>
      <c r="AA17" s="8"/>
    </row>
    <row r="18" spans="1:27" s="26" customFormat="1" ht="28.5" hidden="1" customHeight="1">
      <c r="A18" s="8" t="s">
        <v>53</v>
      </c>
      <c r="B18" s="29" t="s">
        <v>54</v>
      </c>
      <c r="C18" s="8" t="s">
        <v>81</v>
      </c>
      <c r="D18" s="8" t="s">
        <v>98</v>
      </c>
      <c r="E18" s="69" t="s">
        <v>99</v>
      </c>
      <c r="F18" s="8"/>
      <c r="G18" s="8" t="s">
        <v>62</v>
      </c>
      <c r="H18" s="8" t="s">
        <v>84</v>
      </c>
      <c r="I18" s="8" t="s">
        <v>85</v>
      </c>
      <c r="J18" s="8"/>
      <c r="K18" s="8"/>
      <c r="L18" s="8"/>
      <c r="M18" s="8"/>
      <c r="N18" s="8"/>
      <c r="O18" s="8"/>
      <c r="P18" s="60"/>
      <c r="Q18" s="46"/>
      <c r="R18" s="38"/>
      <c r="S18" s="8"/>
      <c r="T18" s="8"/>
      <c r="U18" s="8"/>
      <c r="V18" s="8"/>
      <c r="W18" s="8"/>
      <c r="X18" s="8"/>
      <c r="Y18" s="8"/>
      <c r="Z18" s="503"/>
      <c r="AA18" s="8"/>
    </row>
    <row r="19" spans="1:27" s="26" customFormat="1" ht="28.5" hidden="1" customHeight="1">
      <c r="A19" s="8" t="s">
        <v>53</v>
      </c>
      <c r="B19" s="29" t="s">
        <v>54</v>
      </c>
      <c r="C19" s="8" t="s">
        <v>81</v>
      </c>
      <c r="D19" s="8" t="s">
        <v>100</v>
      </c>
      <c r="E19" s="69" t="s">
        <v>101</v>
      </c>
      <c r="F19" s="8"/>
      <c r="G19" s="8" t="s">
        <v>62</v>
      </c>
      <c r="H19" s="8" t="s">
        <v>84</v>
      </c>
      <c r="I19" s="8" t="s">
        <v>85</v>
      </c>
      <c r="J19" s="8"/>
      <c r="K19" s="8"/>
      <c r="L19" s="8"/>
      <c r="M19" s="8"/>
      <c r="N19" s="8"/>
      <c r="O19" s="8"/>
      <c r="P19" s="60"/>
      <c r="Q19" s="46"/>
      <c r="R19" s="38"/>
      <c r="S19" s="8"/>
      <c r="T19" s="8"/>
      <c r="U19" s="8"/>
      <c r="V19" s="8"/>
      <c r="W19" s="8"/>
      <c r="X19" s="8"/>
      <c r="Y19" s="8"/>
      <c r="Z19" s="503"/>
      <c r="AA19" s="8"/>
    </row>
    <row r="20" spans="1:27" s="26" customFormat="1" ht="28.5" hidden="1" customHeight="1">
      <c r="A20" s="8" t="s">
        <v>53</v>
      </c>
      <c r="B20" s="29" t="s">
        <v>54</v>
      </c>
      <c r="C20" s="8" t="s">
        <v>81</v>
      </c>
      <c r="D20" s="8" t="s">
        <v>102</v>
      </c>
      <c r="E20" s="69" t="s">
        <v>103</v>
      </c>
      <c r="F20" s="8"/>
      <c r="G20" s="8" t="s">
        <v>62</v>
      </c>
      <c r="H20" s="8" t="s">
        <v>84</v>
      </c>
      <c r="I20" s="8" t="s">
        <v>85</v>
      </c>
      <c r="J20" s="8"/>
      <c r="K20" s="8"/>
      <c r="L20" s="8"/>
      <c r="M20" s="8"/>
      <c r="N20" s="8"/>
      <c r="O20" s="8"/>
      <c r="P20" s="60"/>
      <c r="Q20" s="46"/>
      <c r="R20" s="38"/>
      <c r="S20" s="8"/>
      <c r="T20" s="8"/>
      <c r="U20" s="8"/>
      <c r="V20" s="8"/>
      <c r="W20" s="8"/>
      <c r="X20" s="8"/>
      <c r="Y20" s="8"/>
      <c r="Z20" s="503"/>
      <c r="AA20" s="8"/>
    </row>
    <row r="21" spans="1:27" s="26" customFormat="1" ht="28.5" customHeight="1">
      <c r="A21" s="8" t="s">
        <v>53</v>
      </c>
      <c r="B21" s="29" t="s">
        <v>54</v>
      </c>
      <c r="C21" s="8" t="s">
        <v>81</v>
      </c>
      <c r="D21" s="8" t="s">
        <v>104</v>
      </c>
      <c r="E21" s="8" t="s">
        <v>105</v>
      </c>
      <c r="F21" s="8"/>
      <c r="G21" s="8" t="s">
        <v>62</v>
      </c>
      <c r="H21" s="8" t="s">
        <v>106</v>
      </c>
      <c r="I21" s="9">
        <v>1</v>
      </c>
      <c r="J21" s="9"/>
      <c r="K21" s="11"/>
      <c r="L21" s="9"/>
      <c r="M21" s="9"/>
      <c r="N21" s="9"/>
      <c r="O21" s="9"/>
      <c r="P21" s="60"/>
      <c r="Q21" s="47"/>
      <c r="R21" s="37" t="s">
        <v>1378</v>
      </c>
      <c r="S21" s="9" t="s">
        <v>1355</v>
      </c>
      <c r="T21" s="9" t="s">
        <v>1379</v>
      </c>
      <c r="U21" s="9" t="s">
        <v>1369</v>
      </c>
      <c r="V21" s="9" t="s">
        <v>1191</v>
      </c>
      <c r="W21" s="150" t="s">
        <v>1380</v>
      </c>
      <c r="X21" s="9" t="s">
        <v>10</v>
      </c>
      <c r="Y21" s="9" t="s">
        <v>1381</v>
      </c>
      <c r="Z21" s="502" t="s">
        <v>1382</v>
      </c>
      <c r="AA21" s="152" t="s">
        <v>1383</v>
      </c>
    </row>
    <row r="22" spans="1:27" s="26" customFormat="1" ht="28.5" hidden="1" customHeight="1">
      <c r="A22" s="8" t="s">
        <v>53</v>
      </c>
      <c r="B22" s="29" t="s">
        <v>54</v>
      </c>
      <c r="C22" s="8" t="s">
        <v>81</v>
      </c>
      <c r="D22" s="8" t="s">
        <v>107</v>
      </c>
      <c r="E22" s="8" t="s">
        <v>108</v>
      </c>
      <c r="F22" s="8"/>
      <c r="G22" s="8" t="s">
        <v>62</v>
      </c>
      <c r="H22" s="8" t="s">
        <v>109</v>
      </c>
      <c r="I22" s="14" t="s">
        <v>110</v>
      </c>
      <c r="J22" s="8"/>
      <c r="K22" s="8"/>
      <c r="L22" s="8"/>
      <c r="M22" s="8"/>
      <c r="N22" s="8"/>
      <c r="O22" s="8"/>
      <c r="P22" s="60"/>
      <c r="Q22" s="46"/>
      <c r="R22" s="38"/>
      <c r="S22" s="8"/>
      <c r="T22" s="8"/>
      <c r="U22" s="8"/>
      <c r="V22" s="8"/>
      <c r="W22" s="8"/>
      <c r="X22" s="8"/>
      <c r="Y22" s="8"/>
      <c r="Z22" s="503"/>
      <c r="AA22" s="8"/>
    </row>
    <row r="23" spans="1:27" s="26" customFormat="1" ht="28.5" hidden="1" customHeight="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504"/>
      <c r="AA23" s="20"/>
    </row>
    <row r="24" spans="1:27" s="26" customFormat="1" ht="28.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503"/>
      <c r="AA24" s="8"/>
    </row>
    <row r="25" spans="1:27" s="26" customFormat="1" ht="28.5" hidden="1" customHeight="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503"/>
      <c r="AA25" s="8"/>
    </row>
    <row r="26" spans="1:27" s="26" customFormat="1" ht="28.5" hidden="1" customHeight="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503"/>
      <c r="AA26" s="8"/>
    </row>
    <row r="27" spans="1:27" s="26" customFormat="1" ht="28.5" hidden="1" customHeight="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503"/>
      <c r="AA27" s="8"/>
    </row>
    <row r="28" spans="1:27" s="26" customFormat="1" ht="28.5" customHeight="1">
      <c r="A28" s="8" t="s">
        <v>53</v>
      </c>
      <c r="B28" s="29" t="s">
        <v>54</v>
      </c>
      <c r="C28" s="8" t="s">
        <v>81</v>
      </c>
      <c r="D28" s="8" t="s">
        <v>122</v>
      </c>
      <c r="E28" s="8" t="s">
        <v>123</v>
      </c>
      <c r="F28" s="8"/>
      <c r="G28" s="8" t="s">
        <v>71</v>
      </c>
      <c r="H28" s="8" t="s">
        <v>124</v>
      </c>
      <c r="I28" s="9">
        <v>1</v>
      </c>
      <c r="J28" s="8"/>
      <c r="K28" s="8"/>
      <c r="L28" s="8"/>
      <c r="M28" s="8"/>
      <c r="N28" s="8"/>
      <c r="O28" s="8"/>
      <c r="P28" s="60"/>
      <c r="Q28" s="46"/>
      <c r="R28" s="38" t="s">
        <v>1384</v>
      </c>
      <c r="S28" s="8" t="s">
        <v>1385</v>
      </c>
      <c r="T28" s="152" t="s">
        <v>1386</v>
      </c>
      <c r="U28" s="8" t="s">
        <v>1363</v>
      </c>
      <c r="V28" s="8" t="s">
        <v>1191</v>
      </c>
      <c r="W28" s="152" t="s">
        <v>1387</v>
      </c>
      <c r="X28" s="8" t="s">
        <v>10</v>
      </c>
      <c r="Y28" s="8"/>
      <c r="Z28" s="503">
        <v>0</v>
      </c>
      <c r="AA28" s="8"/>
    </row>
    <row r="29" spans="1:27" s="26" customFormat="1" ht="28.5" customHeight="1">
      <c r="A29" s="8" t="s">
        <v>53</v>
      </c>
      <c r="B29" s="29" t="s">
        <v>54</v>
      </c>
      <c r="C29" s="8" t="s">
        <v>81</v>
      </c>
      <c r="D29" s="8" t="s">
        <v>125</v>
      </c>
      <c r="E29" s="8" t="s">
        <v>126</v>
      </c>
      <c r="F29" s="8"/>
      <c r="G29" s="8" t="s">
        <v>71</v>
      </c>
      <c r="H29" s="8" t="s">
        <v>127</v>
      </c>
      <c r="I29" s="9">
        <v>1</v>
      </c>
      <c r="J29" s="8"/>
      <c r="K29" s="8"/>
      <c r="L29" s="8"/>
      <c r="M29" s="8"/>
      <c r="N29" s="8"/>
      <c r="O29" s="8"/>
      <c r="P29" s="60"/>
      <c r="Q29" s="46"/>
      <c r="R29" s="38" t="s">
        <v>1388</v>
      </c>
      <c r="S29" s="8" t="s">
        <v>1389</v>
      </c>
      <c r="T29" s="8" t="s">
        <v>1390</v>
      </c>
      <c r="U29" s="8" t="s">
        <v>1363</v>
      </c>
      <c r="V29" s="8" t="s">
        <v>1191</v>
      </c>
      <c r="W29" s="8">
        <v>2023</v>
      </c>
      <c r="X29" s="8" t="s">
        <v>9</v>
      </c>
      <c r="Y29" s="8" t="s">
        <v>1391</v>
      </c>
      <c r="Z29" s="503">
        <v>35000</v>
      </c>
      <c r="AA29" s="8" t="s">
        <v>1392</v>
      </c>
    </row>
    <row r="30" spans="1:27" s="26" customFormat="1" ht="28.5" hidden="1" customHeight="1">
      <c r="A30" s="8" t="s">
        <v>53</v>
      </c>
      <c r="B30" s="29" t="s">
        <v>54</v>
      </c>
      <c r="C30" s="8" t="s">
        <v>128</v>
      </c>
      <c r="D30" s="8" t="s">
        <v>129</v>
      </c>
      <c r="E30" s="8" t="s">
        <v>130</v>
      </c>
      <c r="F30" s="8"/>
      <c r="G30" s="20" t="s">
        <v>131</v>
      </c>
      <c r="H30" s="20"/>
      <c r="I30" s="22"/>
      <c r="J30" s="22"/>
      <c r="K30" s="20"/>
      <c r="L30" s="22"/>
      <c r="M30" s="22"/>
      <c r="N30" s="22"/>
      <c r="O30" s="22"/>
      <c r="P30" s="35"/>
      <c r="Q30" s="47"/>
      <c r="R30" s="61"/>
      <c r="S30" s="22"/>
      <c r="T30" s="22"/>
      <c r="U30" s="22"/>
      <c r="V30" s="22"/>
      <c r="W30" s="22"/>
      <c r="X30" s="22"/>
      <c r="Y30" s="22"/>
      <c r="Z30" s="504"/>
      <c r="AA30" s="20"/>
    </row>
    <row r="31" spans="1:27" s="26" customFormat="1" ht="28.5" customHeight="1">
      <c r="A31" s="8" t="s">
        <v>53</v>
      </c>
      <c r="B31" s="29" t="s">
        <v>54</v>
      </c>
      <c r="C31" s="8" t="s">
        <v>128</v>
      </c>
      <c r="D31" s="8" t="s">
        <v>132</v>
      </c>
      <c r="E31" s="69" t="s">
        <v>133</v>
      </c>
      <c r="F31" s="8"/>
      <c r="G31" s="8" t="s">
        <v>131</v>
      </c>
      <c r="H31" s="8" t="s">
        <v>134</v>
      </c>
      <c r="I31" s="8" t="s">
        <v>135</v>
      </c>
      <c r="J31" s="8"/>
      <c r="K31" s="8"/>
      <c r="L31" s="8"/>
      <c r="M31" s="8"/>
      <c r="N31" s="8"/>
      <c r="O31" s="8"/>
      <c r="P31" s="60"/>
      <c r="Q31" s="46"/>
      <c r="R31" s="38" t="s">
        <v>1393</v>
      </c>
      <c r="S31" s="8" t="s">
        <v>1355</v>
      </c>
      <c r="T31" s="38" t="s">
        <v>1394</v>
      </c>
      <c r="U31" s="8" t="s">
        <v>1363</v>
      </c>
      <c r="V31" s="8" t="s">
        <v>8</v>
      </c>
      <c r="W31" s="152" t="s">
        <v>1395</v>
      </c>
      <c r="X31" s="8" t="s">
        <v>9</v>
      </c>
      <c r="Y31" s="8" t="s">
        <v>1396</v>
      </c>
      <c r="Z31" s="503">
        <v>0</v>
      </c>
      <c r="AA31" s="8"/>
    </row>
    <row r="32" spans="1:27" s="26" customFormat="1" ht="28.5" customHeight="1">
      <c r="A32" s="8" t="s">
        <v>53</v>
      </c>
      <c r="B32" s="29" t="s">
        <v>54</v>
      </c>
      <c r="C32" s="8" t="s">
        <v>128</v>
      </c>
      <c r="D32" s="8" t="s">
        <v>136</v>
      </c>
      <c r="E32" s="69" t="s">
        <v>137</v>
      </c>
      <c r="F32" s="8"/>
      <c r="G32" s="8" t="s">
        <v>131</v>
      </c>
      <c r="H32" s="8" t="s">
        <v>138</v>
      </c>
      <c r="I32" s="8" t="s">
        <v>139</v>
      </c>
      <c r="J32" s="8"/>
      <c r="K32" s="8"/>
      <c r="L32" s="8"/>
      <c r="M32" s="8"/>
      <c r="N32" s="8"/>
      <c r="O32" s="8"/>
      <c r="P32" s="60"/>
      <c r="Q32" s="46"/>
      <c r="R32" s="38" t="s">
        <v>1397</v>
      </c>
      <c r="S32" s="8" t="s">
        <v>1355</v>
      </c>
      <c r="T32" s="38" t="s">
        <v>1398</v>
      </c>
      <c r="U32" s="8" t="s">
        <v>1363</v>
      </c>
      <c r="V32" s="8" t="s">
        <v>8</v>
      </c>
      <c r="W32" s="152" t="s">
        <v>1395</v>
      </c>
      <c r="X32" s="8" t="s">
        <v>9</v>
      </c>
      <c r="Y32" s="8" t="s">
        <v>1399</v>
      </c>
      <c r="Z32" s="503">
        <v>0</v>
      </c>
      <c r="AA32" s="8"/>
    </row>
    <row r="33" spans="1:27" s="26" customFormat="1" ht="28.5" customHeight="1">
      <c r="A33" s="8" t="s">
        <v>53</v>
      </c>
      <c r="B33" s="29" t="s">
        <v>54</v>
      </c>
      <c r="C33" s="8" t="s">
        <v>128</v>
      </c>
      <c r="D33" s="8" t="s">
        <v>140</v>
      </c>
      <c r="E33" s="69" t="s">
        <v>141</v>
      </c>
      <c r="F33" s="8"/>
      <c r="G33" s="8" t="s">
        <v>131</v>
      </c>
      <c r="H33" s="8" t="s">
        <v>142</v>
      </c>
      <c r="I33" s="8" t="s">
        <v>143</v>
      </c>
      <c r="J33" s="8"/>
      <c r="K33" s="8"/>
      <c r="L33" s="8"/>
      <c r="M33" s="8"/>
      <c r="N33" s="8"/>
      <c r="O33" s="8"/>
      <c r="P33" s="60"/>
      <c r="Q33" s="46"/>
      <c r="R33" s="151" t="s">
        <v>1400</v>
      </c>
      <c r="S33" s="8" t="s">
        <v>1355</v>
      </c>
      <c r="T33" s="8" t="s">
        <v>1401</v>
      </c>
      <c r="U33" s="8" t="s">
        <v>1363</v>
      </c>
      <c r="V33" s="8" t="s">
        <v>8</v>
      </c>
      <c r="W33" s="8">
        <v>2023</v>
      </c>
      <c r="X33" s="8" t="s">
        <v>9</v>
      </c>
      <c r="Y33" s="152" t="s">
        <v>1402</v>
      </c>
      <c r="Z33" s="503" t="s">
        <v>1314</v>
      </c>
      <c r="AA33" s="8"/>
    </row>
    <row r="34" spans="1:27" s="26" customFormat="1" ht="28.5" hidden="1" customHeight="1">
      <c r="A34" s="8" t="s">
        <v>53</v>
      </c>
      <c r="B34" s="29" t="s">
        <v>54</v>
      </c>
      <c r="C34" s="8" t="s">
        <v>128</v>
      </c>
      <c r="D34" s="8" t="s">
        <v>144</v>
      </c>
      <c r="E34" s="12" t="s">
        <v>145</v>
      </c>
      <c r="F34" s="8"/>
      <c r="G34" s="20" t="s">
        <v>131</v>
      </c>
      <c r="H34" s="20"/>
      <c r="I34" s="22"/>
      <c r="J34" s="22"/>
      <c r="K34" s="20"/>
      <c r="L34" s="22"/>
      <c r="M34" s="22"/>
      <c r="N34" s="22"/>
      <c r="O34" s="22"/>
      <c r="P34" s="35"/>
      <c r="Q34" s="47"/>
      <c r="R34" s="61"/>
      <c r="S34" s="22"/>
      <c r="T34" s="22"/>
      <c r="U34" s="22"/>
      <c r="V34" s="22"/>
      <c r="W34" s="22"/>
      <c r="X34" s="22"/>
      <c r="Y34" s="22"/>
      <c r="Z34" s="504"/>
      <c r="AA34" s="20"/>
    </row>
    <row r="35" spans="1:27" s="26" customFormat="1" ht="28.5" hidden="1" customHeight="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505"/>
      <c r="AA35" s="8"/>
    </row>
    <row r="36" spans="1:27" s="26" customFormat="1" ht="28.5" customHeight="1">
      <c r="A36" s="8" t="s">
        <v>53</v>
      </c>
      <c r="B36" s="29" t="s">
        <v>54</v>
      </c>
      <c r="C36" s="8" t="s">
        <v>128</v>
      </c>
      <c r="D36" s="8" t="s">
        <v>150</v>
      </c>
      <c r="E36" s="69" t="s">
        <v>151</v>
      </c>
      <c r="F36" s="8"/>
      <c r="G36" s="8" t="s">
        <v>131</v>
      </c>
      <c r="H36" s="12" t="s">
        <v>152</v>
      </c>
      <c r="I36" s="8" t="s">
        <v>153</v>
      </c>
      <c r="J36" s="8"/>
      <c r="K36" s="8"/>
      <c r="L36" s="8"/>
      <c r="M36" s="8"/>
      <c r="N36" s="8"/>
      <c r="O36" s="8"/>
      <c r="P36" s="60"/>
      <c r="Q36" s="46"/>
      <c r="R36" s="151" t="s">
        <v>1403</v>
      </c>
      <c r="S36" s="8" t="s">
        <v>1355</v>
      </c>
      <c r="T36" s="8" t="s">
        <v>1404</v>
      </c>
      <c r="U36" s="8" t="s">
        <v>1363</v>
      </c>
      <c r="V36" s="8" t="s">
        <v>8</v>
      </c>
      <c r="W36" s="8">
        <v>2023</v>
      </c>
      <c r="X36" s="8" t="s">
        <v>9</v>
      </c>
      <c r="Y36" s="152" t="s">
        <v>1405</v>
      </c>
      <c r="Z36" s="503">
        <v>3500</v>
      </c>
      <c r="AA36" s="8"/>
    </row>
    <row r="37" spans="1:27" s="26" customFormat="1" ht="28.5" hidden="1" customHeight="1">
      <c r="A37" s="8" t="s">
        <v>53</v>
      </c>
      <c r="B37" s="29" t="s">
        <v>54</v>
      </c>
      <c r="C37" s="8" t="s">
        <v>128</v>
      </c>
      <c r="D37" s="8" t="s">
        <v>154</v>
      </c>
      <c r="E37" s="12" t="s">
        <v>155</v>
      </c>
      <c r="F37" s="8"/>
      <c r="G37" s="20" t="s">
        <v>131</v>
      </c>
      <c r="H37" s="20"/>
      <c r="I37" s="22"/>
      <c r="J37" s="22"/>
      <c r="K37" s="20"/>
      <c r="L37" s="22"/>
      <c r="M37" s="22"/>
      <c r="N37" s="22"/>
      <c r="O37" s="22"/>
      <c r="P37" s="35"/>
      <c r="Q37" s="47"/>
      <c r="R37" s="61"/>
      <c r="S37" s="22"/>
      <c r="T37" s="22"/>
      <c r="U37" s="22"/>
      <c r="V37" s="22"/>
      <c r="W37" s="22"/>
      <c r="X37" s="22"/>
      <c r="Y37" s="22"/>
      <c r="Z37" s="504"/>
      <c r="AA37" s="20"/>
    </row>
    <row r="38" spans="1:27" s="26" customFormat="1" ht="28.5" hidden="1" customHeight="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505"/>
      <c r="AA38" s="8"/>
    </row>
    <row r="39" spans="1:27" s="26" customFormat="1" ht="28.5" customHeight="1">
      <c r="A39" s="8" t="s">
        <v>53</v>
      </c>
      <c r="B39" s="29" t="s">
        <v>54</v>
      </c>
      <c r="C39" s="8" t="s">
        <v>128</v>
      </c>
      <c r="D39" s="8" t="s">
        <v>159</v>
      </c>
      <c r="E39" s="69" t="s">
        <v>160</v>
      </c>
      <c r="F39" s="8"/>
      <c r="G39" s="8" t="s">
        <v>131</v>
      </c>
      <c r="H39" s="12" t="s">
        <v>161</v>
      </c>
      <c r="I39" s="12" t="s">
        <v>162</v>
      </c>
      <c r="J39" s="8"/>
      <c r="K39" s="8"/>
      <c r="L39" s="8"/>
      <c r="M39" s="8"/>
      <c r="N39" s="8"/>
      <c r="O39" s="8"/>
      <c r="P39" s="60"/>
      <c r="Q39" s="46"/>
      <c r="R39" s="38" t="s">
        <v>1406</v>
      </c>
      <c r="S39" s="8" t="s">
        <v>1355</v>
      </c>
      <c r="T39" s="8" t="s">
        <v>1407</v>
      </c>
      <c r="U39" s="12" t="s">
        <v>1363</v>
      </c>
      <c r="V39" s="8" t="s">
        <v>1191</v>
      </c>
      <c r="W39" s="152" t="s">
        <v>1408</v>
      </c>
      <c r="X39" s="8" t="s">
        <v>10</v>
      </c>
      <c r="Y39" s="8"/>
      <c r="Z39" s="503" t="s">
        <v>1409</v>
      </c>
      <c r="AA39" s="8" t="s">
        <v>1410</v>
      </c>
    </row>
    <row r="40" spans="1:27" s="26" customFormat="1" ht="28.5" hidden="1" customHeight="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505"/>
      <c r="AA40" s="8"/>
    </row>
    <row r="41" spans="1:27" s="26" customFormat="1" ht="28.5" customHeight="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t="s">
        <v>1411</v>
      </c>
      <c r="S41" s="13" t="s">
        <v>1412</v>
      </c>
      <c r="T41" s="13" t="s">
        <v>1413</v>
      </c>
      <c r="U41" s="13" t="s">
        <v>1363</v>
      </c>
      <c r="V41" s="13" t="s">
        <v>1191</v>
      </c>
      <c r="W41" s="13">
        <v>2023</v>
      </c>
      <c r="X41" s="13" t="s">
        <v>9</v>
      </c>
      <c r="Y41" s="13" t="s">
        <v>1414</v>
      </c>
      <c r="Z41" s="506">
        <v>56200</v>
      </c>
      <c r="AA41" s="8" t="s">
        <v>1415</v>
      </c>
    </row>
    <row r="42" spans="1:27" s="26" customFormat="1" ht="28.5" hidden="1" customHeight="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506"/>
      <c r="AA42" s="8"/>
    </row>
    <row r="43" spans="1:27" s="26" customFormat="1" ht="28.5" customHeight="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t="s">
        <v>1416</v>
      </c>
      <c r="S43" s="13" t="s">
        <v>1417</v>
      </c>
      <c r="T43" s="13" t="s">
        <v>1418</v>
      </c>
      <c r="U43" s="13" t="s">
        <v>1357</v>
      </c>
      <c r="V43" s="13" t="s">
        <v>8</v>
      </c>
      <c r="W43" s="153" t="s">
        <v>1380</v>
      </c>
      <c r="X43" s="13" t="s">
        <v>9</v>
      </c>
      <c r="Y43" s="13" t="s">
        <v>1419</v>
      </c>
      <c r="Z43" s="506">
        <v>21374</v>
      </c>
      <c r="AA43" s="8" t="s">
        <v>1420</v>
      </c>
    </row>
    <row r="44" spans="1:27" s="26" customFormat="1" ht="28.5" hidden="1" customHeight="1">
      <c r="A44" s="8" t="s">
        <v>53</v>
      </c>
      <c r="B44" s="29" t="s">
        <v>54</v>
      </c>
      <c r="C44" s="8" t="s">
        <v>128</v>
      </c>
      <c r="D44" s="8" t="s">
        <v>176</v>
      </c>
      <c r="E44" s="69" t="s">
        <v>177</v>
      </c>
      <c r="F44" s="8"/>
      <c r="G44" s="8" t="s">
        <v>62</v>
      </c>
      <c r="H44" s="12" t="s">
        <v>178</v>
      </c>
      <c r="I44" s="12" t="s">
        <v>179</v>
      </c>
      <c r="J44" s="8"/>
      <c r="K44" s="14"/>
      <c r="L44" s="14"/>
      <c r="M44" s="14"/>
      <c r="N44" s="14"/>
      <c r="O44" s="14"/>
      <c r="P44" s="60"/>
      <c r="Q44" s="46"/>
      <c r="R44" s="42"/>
      <c r="S44" s="14"/>
      <c r="T44" s="14"/>
      <c r="U44" s="14"/>
      <c r="V44" s="14"/>
      <c r="W44" s="14"/>
      <c r="X44" s="14"/>
      <c r="Y44" s="14"/>
      <c r="Z44" s="507"/>
      <c r="AA44" s="8"/>
    </row>
    <row r="45" spans="1:27" s="26" customFormat="1" ht="28.5" hidden="1" customHeight="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506"/>
      <c r="AA45" s="8"/>
    </row>
    <row r="46" spans="1:27" s="26" customFormat="1" ht="28.5" hidden="1" customHeight="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506"/>
      <c r="AA46" s="8"/>
    </row>
    <row r="47" spans="1:27" s="26" customFormat="1" ht="28.5" hidden="1" customHeight="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506"/>
      <c r="AA47" s="8"/>
    </row>
    <row r="48" spans="1:27" s="26" customFormat="1" ht="28.5" hidden="1" customHeight="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506"/>
      <c r="AA48" s="8"/>
    </row>
    <row r="49" spans="1:27" s="26" customFormat="1" ht="28.5" hidden="1" customHeight="1">
      <c r="A49" s="8" t="s">
        <v>53</v>
      </c>
      <c r="B49" s="29" t="s">
        <v>54</v>
      </c>
      <c r="C49" s="8" t="s">
        <v>128</v>
      </c>
      <c r="D49" s="8" t="s">
        <v>193</v>
      </c>
      <c r="E49" s="12" t="s">
        <v>190</v>
      </c>
      <c r="F49" s="8"/>
      <c r="G49" s="8" t="s">
        <v>62</v>
      </c>
      <c r="H49" s="12" t="s">
        <v>194</v>
      </c>
      <c r="I49" s="12" t="s">
        <v>135</v>
      </c>
      <c r="J49" s="8"/>
      <c r="K49" s="14"/>
      <c r="L49" s="14"/>
      <c r="M49" s="14"/>
      <c r="N49" s="14"/>
      <c r="O49" s="14"/>
      <c r="P49" s="60"/>
      <c r="Q49" s="46"/>
      <c r="R49" s="42"/>
      <c r="S49" s="14"/>
      <c r="T49" s="14"/>
      <c r="U49" s="14"/>
      <c r="V49" s="14"/>
      <c r="W49" s="14"/>
      <c r="X49" s="14"/>
      <c r="Y49" s="14"/>
      <c r="Z49" s="507"/>
      <c r="AA49" s="8"/>
    </row>
    <row r="50" spans="1:27" s="26" customFormat="1" ht="28.5" hidden="1" customHeight="1">
      <c r="A50" s="8" t="s">
        <v>53</v>
      </c>
      <c r="B50" s="29" t="s">
        <v>195</v>
      </c>
      <c r="C50" s="8" t="s">
        <v>196</v>
      </c>
      <c r="D50" s="8" t="s">
        <v>197</v>
      </c>
      <c r="E50" s="8" t="s">
        <v>198</v>
      </c>
      <c r="F50" s="8"/>
      <c r="G50" s="20" t="s">
        <v>62</v>
      </c>
      <c r="H50" s="20"/>
      <c r="I50" s="22"/>
      <c r="J50" s="22"/>
      <c r="K50" s="20"/>
      <c r="L50" s="22"/>
      <c r="M50" s="22"/>
      <c r="N50" s="22"/>
      <c r="O50" s="22"/>
      <c r="P50" s="35"/>
      <c r="Q50" s="47"/>
      <c r="R50" s="61"/>
      <c r="S50" s="22"/>
      <c r="T50" s="22"/>
      <c r="U50" s="22"/>
      <c r="V50" s="22"/>
      <c r="W50" s="22"/>
      <c r="X50" s="22"/>
      <c r="Y50" s="22"/>
      <c r="Z50" s="504"/>
      <c r="AA50" s="20"/>
    </row>
    <row r="51" spans="1:27" s="26" customFormat="1" ht="28.5" customHeight="1">
      <c r="A51" s="8" t="s">
        <v>53</v>
      </c>
      <c r="B51" s="29" t="s">
        <v>195</v>
      </c>
      <c r="C51" s="8" t="s">
        <v>196</v>
      </c>
      <c r="D51" s="8" t="s">
        <v>199</v>
      </c>
      <c r="E51" s="69" t="s">
        <v>200</v>
      </c>
      <c r="F51" s="8"/>
      <c r="G51" s="8" t="s">
        <v>62</v>
      </c>
      <c r="H51" s="8" t="s">
        <v>201</v>
      </c>
      <c r="I51" s="15">
        <v>1</v>
      </c>
      <c r="J51" s="9"/>
      <c r="K51" s="9"/>
      <c r="L51" s="9"/>
      <c r="M51" s="9"/>
      <c r="N51" s="9"/>
      <c r="O51" s="9"/>
      <c r="P51" s="60"/>
      <c r="Q51" s="47"/>
      <c r="R51" s="41" t="s">
        <v>1411</v>
      </c>
      <c r="S51" s="13" t="s">
        <v>1412</v>
      </c>
      <c r="T51" s="13" t="s">
        <v>1413</v>
      </c>
      <c r="U51" s="13" t="s">
        <v>1363</v>
      </c>
      <c r="V51" s="13" t="s">
        <v>1191</v>
      </c>
      <c r="W51" s="13">
        <v>2023</v>
      </c>
      <c r="X51" s="13" t="s">
        <v>9</v>
      </c>
      <c r="Y51" s="13" t="s">
        <v>1414</v>
      </c>
      <c r="Z51" s="506" t="s">
        <v>1421</v>
      </c>
      <c r="AA51" s="8" t="s">
        <v>1415</v>
      </c>
    </row>
    <row r="52" spans="1:27" s="26" customFormat="1" ht="28.5" customHeight="1">
      <c r="A52" s="8" t="s">
        <v>53</v>
      </c>
      <c r="B52" s="29" t="s">
        <v>195</v>
      </c>
      <c r="C52" s="8" t="s">
        <v>196</v>
      </c>
      <c r="D52" s="8" t="s">
        <v>202</v>
      </c>
      <c r="E52" s="69" t="s">
        <v>203</v>
      </c>
      <c r="F52" s="8"/>
      <c r="G52" s="8" t="s">
        <v>62</v>
      </c>
      <c r="H52" s="8" t="s">
        <v>204</v>
      </c>
      <c r="I52" s="15">
        <v>1</v>
      </c>
      <c r="J52" s="8"/>
      <c r="K52" s="8"/>
      <c r="L52" s="8"/>
      <c r="M52" s="8"/>
      <c r="N52" s="8"/>
      <c r="O52" s="8"/>
      <c r="P52" s="60"/>
      <c r="Q52" s="46"/>
      <c r="R52" s="38" t="s">
        <v>1422</v>
      </c>
      <c r="S52" s="8" t="s">
        <v>1355</v>
      </c>
      <c r="T52" s="8"/>
      <c r="U52" s="13" t="s">
        <v>1363</v>
      </c>
      <c r="V52" s="8"/>
      <c r="W52" s="8"/>
      <c r="X52" s="8"/>
      <c r="Y52" s="8"/>
      <c r="Z52" s="503"/>
      <c r="AA52" s="8" t="s">
        <v>1423</v>
      </c>
    </row>
    <row r="53" spans="1:27" s="26" customFormat="1" ht="28.5" hidden="1" customHeight="1">
      <c r="A53" s="8" t="s">
        <v>53</v>
      </c>
      <c r="B53" s="29" t="s">
        <v>195</v>
      </c>
      <c r="C53" s="8" t="s">
        <v>196</v>
      </c>
      <c r="D53" s="8" t="s">
        <v>205</v>
      </c>
      <c r="E53" s="8" t="s">
        <v>206</v>
      </c>
      <c r="F53" s="8"/>
      <c r="G53" s="20" t="s">
        <v>62</v>
      </c>
      <c r="H53" s="20"/>
      <c r="I53" s="22"/>
      <c r="J53" s="22"/>
      <c r="K53" s="20"/>
      <c r="L53" s="22"/>
      <c r="M53" s="22"/>
      <c r="N53" s="22"/>
      <c r="O53" s="22"/>
      <c r="P53" s="35"/>
      <c r="Q53" s="47"/>
      <c r="R53" s="61"/>
      <c r="S53" s="22"/>
      <c r="T53" s="22"/>
      <c r="U53" s="22"/>
      <c r="V53" s="22"/>
      <c r="W53" s="22"/>
      <c r="X53" s="22"/>
      <c r="Y53" s="22"/>
      <c r="Z53" s="504"/>
      <c r="AA53" s="20"/>
    </row>
    <row r="54" spans="1:27" s="26" customFormat="1" ht="28.5" customHeight="1">
      <c r="A54" s="8" t="s">
        <v>53</v>
      </c>
      <c r="B54" s="29" t="s">
        <v>195</v>
      </c>
      <c r="C54" s="8" t="s">
        <v>196</v>
      </c>
      <c r="D54" s="8" t="s">
        <v>207</v>
      </c>
      <c r="E54" s="69" t="s">
        <v>208</v>
      </c>
      <c r="F54" s="8"/>
      <c r="G54" s="8" t="s">
        <v>62</v>
      </c>
      <c r="H54" s="8" t="s">
        <v>209</v>
      </c>
      <c r="I54" s="8" t="s">
        <v>210</v>
      </c>
      <c r="J54" s="8"/>
      <c r="K54" s="8"/>
      <c r="L54" s="8"/>
      <c r="M54" s="8"/>
      <c r="N54" s="8"/>
      <c r="O54" s="8"/>
      <c r="P54" s="60"/>
      <c r="Q54" s="46"/>
      <c r="R54" s="151" t="s">
        <v>1424</v>
      </c>
      <c r="S54" s="8" t="s">
        <v>1425</v>
      </c>
      <c r="T54" s="152" t="s">
        <v>1426</v>
      </c>
      <c r="U54" s="8" t="s">
        <v>1363</v>
      </c>
      <c r="V54" s="8" t="s">
        <v>1191</v>
      </c>
      <c r="W54" s="8">
        <v>2023</v>
      </c>
      <c r="X54" s="8" t="s">
        <v>9</v>
      </c>
      <c r="Y54" s="8" t="s">
        <v>1427</v>
      </c>
      <c r="Z54" s="503" t="s">
        <v>1428</v>
      </c>
      <c r="AA54" s="8" t="s">
        <v>1429</v>
      </c>
    </row>
    <row r="55" spans="1:27" s="26" customFormat="1" ht="28.5" customHeight="1">
      <c r="A55" s="8" t="s">
        <v>53</v>
      </c>
      <c r="B55" s="29" t="s">
        <v>195</v>
      </c>
      <c r="C55" s="8" t="s">
        <v>196</v>
      </c>
      <c r="D55" s="8" t="s">
        <v>211</v>
      </c>
      <c r="E55" s="69" t="s">
        <v>212</v>
      </c>
      <c r="F55" s="8"/>
      <c r="G55" s="8" t="s">
        <v>62</v>
      </c>
      <c r="H55" s="8" t="s">
        <v>213</v>
      </c>
      <c r="I55" s="8" t="s">
        <v>214</v>
      </c>
      <c r="J55" s="8"/>
      <c r="K55" s="8"/>
      <c r="L55" s="8"/>
      <c r="M55" s="8"/>
      <c r="N55" s="8"/>
      <c r="O55" s="8"/>
      <c r="P55" s="60"/>
      <c r="Q55" s="46"/>
      <c r="R55" s="38" t="s">
        <v>1430</v>
      </c>
      <c r="S55" s="8" t="s">
        <v>1431</v>
      </c>
      <c r="T55" s="8" t="s">
        <v>1432</v>
      </c>
      <c r="U55" s="8" t="s">
        <v>1363</v>
      </c>
      <c r="V55" s="8" t="s">
        <v>8</v>
      </c>
      <c r="W55" s="8"/>
      <c r="X55" s="8" t="s">
        <v>9</v>
      </c>
      <c r="Y55" s="8" t="s">
        <v>1433</v>
      </c>
      <c r="Z55" s="503" t="s">
        <v>1434</v>
      </c>
      <c r="AA55" s="8" t="s">
        <v>1435</v>
      </c>
    </row>
    <row r="56" spans="1:27" s="26" customFormat="1" ht="28.5" customHeight="1">
      <c r="A56" s="8" t="s">
        <v>53</v>
      </c>
      <c r="B56" s="29" t="s">
        <v>195</v>
      </c>
      <c r="C56" s="8" t="s">
        <v>196</v>
      </c>
      <c r="D56" s="8" t="s">
        <v>215</v>
      </c>
      <c r="E56" s="8" t="s">
        <v>216</v>
      </c>
      <c r="F56" s="8"/>
      <c r="G56" s="8" t="s">
        <v>62</v>
      </c>
      <c r="H56" s="8" t="s">
        <v>217</v>
      </c>
      <c r="I56" s="8" t="s">
        <v>214</v>
      </c>
      <c r="J56" s="8"/>
      <c r="K56" s="8"/>
      <c r="L56" s="8"/>
      <c r="M56" s="8"/>
      <c r="N56" s="8"/>
      <c r="O56" s="8"/>
      <c r="P56" s="60"/>
      <c r="Q56" s="46"/>
      <c r="R56" s="38" t="s">
        <v>1436</v>
      </c>
      <c r="S56" s="8" t="s">
        <v>1437</v>
      </c>
      <c r="T56" s="8"/>
      <c r="U56" s="8" t="s">
        <v>1357</v>
      </c>
      <c r="V56" s="8" t="s">
        <v>8</v>
      </c>
      <c r="W56" s="8">
        <v>2031</v>
      </c>
      <c r="X56" s="8" t="s">
        <v>9</v>
      </c>
      <c r="Y56" s="8" t="s">
        <v>1438</v>
      </c>
      <c r="Z56" s="503">
        <v>0</v>
      </c>
      <c r="AA56" s="8"/>
    </row>
    <row r="57" spans="1:27" s="26" customFormat="1" ht="28.5" customHeight="1">
      <c r="A57" s="8" t="s">
        <v>53</v>
      </c>
      <c r="B57" s="29" t="s">
        <v>195</v>
      </c>
      <c r="C57" s="8" t="s">
        <v>196</v>
      </c>
      <c r="D57" s="8" t="s">
        <v>218</v>
      </c>
      <c r="E57" s="8" t="s">
        <v>219</v>
      </c>
      <c r="F57" s="8"/>
      <c r="G57" s="8" t="s">
        <v>62</v>
      </c>
      <c r="H57" s="8" t="s">
        <v>220</v>
      </c>
      <c r="I57" s="8" t="s">
        <v>221</v>
      </c>
      <c r="J57" s="8"/>
      <c r="K57" s="8"/>
      <c r="L57" s="8"/>
      <c r="M57" s="8"/>
      <c r="N57" s="8"/>
      <c r="O57" s="8"/>
      <c r="P57" s="60"/>
      <c r="Q57" s="46"/>
      <c r="R57" s="38" t="s">
        <v>1439</v>
      </c>
      <c r="S57" s="8" t="s">
        <v>1440</v>
      </c>
      <c r="T57" s="8" t="s">
        <v>1441</v>
      </c>
      <c r="U57" s="8" t="s">
        <v>1357</v>
      </c>
      <c r="V57" s="8" t="s">
        <v>1191</v>
      </c>
      <c r="W57" s="8">
        <v>2027</v>
      </c>
      <c r="X57" s="8" t="s">
        <v>11</v>
      </c>
      <c r="Y57" s="8" t="s">
        <v>1442</v>
      </c>
      <c r="Z57" s="503">
        <v>13000</v>
      </c>
      <c r="AA57" s="8" t="s">
        <v>1443</v>
      </c>
    </row>
    <row r="58" spans="1:27" s="26" customFormat="1" ht="28.5" hidden="1" customHeight="1">
      <c r="A58" s="8" t="s">
        <v>53</v>
      </c>
      <c r="B58" s="29" t="s">
        <v>195</v>
      </c>
      <c r="C58" s="8" t="s">
        <v>222</v>
      </c>
      <c r="D58" s="8" t="s">
        <v>223</v>
      </c>
      <c r="E58" s="8" t="s">
        <v>224</v>
      </c>
      <c r="F58" s="8"/>
      <c r="G58" s="20" t="s">
        <v>62</v>
      </c>
      <c r="H58" s="20" t="s">
        <v>225</v>
      </c>
      <c r="I58" s="22" t="s">
        <v>226</v>
      </c>
      <c r="J58" s="22"/>
      <c r="K58" s="20"/>
      <c r="L58" s="22"/>
      <c r="M58" s="22"/>
      <c r="N58" s="22"/>
      <c r="O58" s="22"/>
      <c r="P58" s="35"/>
      <c r="Q58" s="47"/>
      <c r="R58" s="61"/>
      <c r="S58" s="22"/>
      <c r="T58" s="22"/>
      <c r="U58" s="22"/>
      <c r="V58" s="22"/>
      <c r="W58" s="22"/>
      <c r="X58" s="22"/>
      <c r="Y58" s="22"/>
      <c r="Z58" s="504"/>
      <c r="AA58" s="20"/>
    </row>
    <row r="59" spans="1:27" s="26" customFormat="1" ht="28.5" customHeight="1">
      <c r="A59" s="8" t="s">
        <v>53</v>
      </c>
      <c r="B59" s="29" t="s">
        <v>195</v>
      </c>
      <c r="C59" s="8" t="s">
        <v>222</v>
      </c>
      <c r="D59" s="8" t="s">
        <v>227</v>
      </c>
      <c r="E59" s="69" t="s">
        <v>228</v>
      </c>
      <c r="F59" s="8"/>
      <c r="G59" s="8" t="s">
        <v>62</v>
      </c>
      <c r="H59" s="8" t="s">
        <v>229</v>
      </c>
      <c r="I59" s="8" t="s">
        <v>226</v>
      </c>
      <c r="J59" s="8"/>
      <c r="K59" s="8"/>
      <c r="L59" s="8"/>
      <c r="M59" s="8"/>
      <c r="N59" s="8"/>
      <c r="O59" s="8"/>
      <c r="P59" s="60"/>
      <c r="Q59" s="46"/>
      <c r="R59" s="38" t="s">
        <v>1444</v>
      </c>
      <c r="S59" s="8" t="s">
        <v>1355</v>
      </c>
      <c r="T59" s="8" t="s">
        <v>1445</v>
      </c>
      <c r="U59" s="8" t="s">
        <v>1369</v>
      </c>
      <c r="V59" s="8" t="s">
        <v>1191</v>
      </c>
      <c r="W59" s="8">
        <v>2031</v>
      </c>
      <c r="X59" s="8" t="s">
        <v>11</v>
      </c>
      <c r="Y59" s="8" t="s">
        <v>1446</v>
      </c>
      <c r="Z59" s="503">
        <v>0</v>
      </c>
      <c r="AA59" s="8" t="s">
        <v>1447</v>
      </c>
    </row>
    <row r="60" spans="1:27" s="26" customFormat="1" ht="28.5" customHeight="1">
      <c r="A60" s="8" t="s">
        <v>53</v>
      </c>
      <c r="B60" s="29" t="s">
        <v>195</v>
      </c>
      <c r="C60" s="8" t="s">
        <v>222</v>
      </c>
      <c r="D60" s="8" t="s">
        <v>230</v>
      </c>
      <c r="E60" s="69" t="s">
        <v>231</v>
      </c>
      <c r="F60" s="8"/>
      <c r="G60" s="8" t="s">
        <v>62</v>
      </c>
      <c r="H60" s="8" t="s">
        <v>232</v>
      </c>
      <c r="I60" s="8" t="s">
        <v>226</v>
      </c>
      <c r="J60" s="8"/>
      <c r="K60" s="8"/>
      <c r="L60" s="8"/>
      <c r="M60" s="8"/>
      <c r="N60" s="8"/>
      <c r="O60" s="8"/>
      <c r="P60" s="60"/>
      <c r="Q60" s="46"/>
      <c r="R60" s="38" t="s">
        <v>1444</v>
      </c>
      <c r="S60" s="8" t="s">
        <v>1355</v>
      </c>
      <c r="T60" s="8" t="s">
        <v>1445</v>
      </c>
      <c r="U60" s="8" t="s">
        <v>1357</v>
      </c>
      <c r="V60" s="8" t="s">
        <v>1191</v>
      </c>
      <c r="W60" s="8">
        <v>2031</v>
      </c>
      <c r="X60" s="8" t="s">
        <v>11</v>
      </c>
      <c r="Y60" s="8" t="s">
        <v>1448</v>
      </c>
      <c r="Z60" s="503">
        <v>0</v>
      </c>
      <c r="AA60" s="8" t="s">
        <v>1449</v>
      </c>
    </row>
    <row r="61" spans="1:27" s="26" customFormat="1" ht="28.5" hidden="1" customHeight="1">
      <c r="A61" s="8" t="s">
        <v>53</v>
      </c>
      <c r="B61" s="29" t="s">
        <v>195</v>
      </c>
      <c r="C61" s="8" t="s">
        <v>222</v>
      </c>
      <c r="D61" s="8" t="s">
        <v>233</v>
      </c>
      <c r="E61" s="69" t="s">
        <v>234</v>
      </c>
      <c r="F61" s="8"/>
      <c r="G61" s="8" t="s">
        <v>62</v>
      </c>
      <c r="H61" s="8" t="s">
        <v>235</v>
      </c>
      <c r="I61" s="8" t="s">
        <v>226</v>
      </c>
      <c r="J61" s="8"/>
      <c r="K61" s="8"/>
      <c r="L61" s="8"/>
      <c r="M61" s="8"/>
      <c r="N61" s="8"/>
      <c r="O61" s="8"/>
      <c r="P61" s="60"/>
      <c r="Q61" s="46"/>
      <c r="R61" s="38"/>
      <c r="S61" s="8"/>
      <c r="T61" s="8"/>
      <c r="U61" s="8" t="s">
        <v>1363</v>
      </c>
      <c r="V61" s="8"/>
      <c r="W61" s="8"/>
      <c r="X61" s="8"/>
      <c r="Y61" s="8"/>
      <c r="Z61" s="503"/>
      <c r="AA61" s="8"/>
    </row>
    <row r="62" spans="1:27" s="26" customFormat="1" ht="28.5" hidden="1" customHeight="1">
      <c r="A62" s="8" t="s">
        <v>53</v>
      </c>
      <c r="B62" s="29" t="s">
        <v>195</v>
      </c>
      <c r="C62" s="8" t="s">
        <v>222</v>
      </c>
      <c r="D62" s="8" t="s">
        <v>236</v>
      </c>
      <c r="E62" s="69" t="s">
        <v>237</v>
      </c>
      <c r="F62" s="8"/>
      <c r="G62" s="8" t="s">
        <v>62</v>
      </c>
      <c r="H62" s="8" t="s">
        <v>238</v>
      </c>
      <c r="I62" s="8" t="s">
        <v>226</v>
      </c>
      <c r="J62" s="8"/>
      <c r="K62" s="8"/>
      <c r="L62" s="8"/>
      <c r="M62" s="8"/>
      <c r="N62" s="8"/>
      <c r="O62" s="8"/>
      <c r="P62" s="60"/>
      <c r="Q62" s="46"/>
      <c r="R62" s="38"/>
      <c r="S62" s="8"/>
      <c r="T62" s="8"/>
      <c r="U62" s="8" t="s">
        <v>1363</v>
      </c>
      <c r="V62" s="8"/>
      <c r="W62" s="8"/>
      <c r="X62" s="8"/>
      <c r="Y62" s="8"/>
      <c r="Z62" s="503"/>
      <c r="AA62" s="8"/>
    </row>
    <row r="63" spans="1:27" s="26" customFormat="1" ht="28.5" customHeight="1">
      <c r="A63" s="8" t="s">
        <v>53</v>
      </c>
      <c r="B63" s="29" t="s">
        <v>195</v>
      </c>
      <c r="C63" s="8" t="s">
        <v>222</v>
      </c>
      <c r="D63" s="8" t="s">
        <v>239</v>
      </c>
      <c r="E63" s="69" t="s">
        <v>240</v>
      </c>
      <c r="F63" s="8"/>
      <c r="G63" s="8" t="s">
        <v>62</v>
      </c>
      <c r="H63" s="8" t="s">
        <v>241</v>
      </c>
      <c r="I63" s="8" t="s">
        <v>226</v>
      </c>
      <c r="J63" s="8"/>
      <c r="K63" s="8"/>
      <c r="L63" s="8"/>
      <c r="M63" s="8"/>
      <c r="N63" s="8"/>
      <c r="O63" s="8"/>
      <c r="P63" s="60"/>
      <c r="Q63" s="46"/>
      <c r="R63" s="38" t="s">
        <v>1450</v>
      </c>
      <c r="S63" s="8" t="s">
        <v>1451</v>
      </c>
      <c r="T63" s="8" t="s">
        <v>1452</v>
      </c>
      <c r="U63" s="8" t="s">
        <v>1363</v>
      </c>
      <c r="V63" s="8" t="s">
        <v>1191</v>
      </c>
      <c r="W63" s="8" t="s">
        <v>1453</v>
      </c>
      <c r="X63" s="8" t="s">
        <v>10</v>
      </c>
      <c r="Y63" s="8"/>
      <c r="Z63" s="503" t="s">
        <v>1454</v>
      </c>
      <c r="AA63" s="8" t="s">
        <v>1455</v>
      </c>
    </row>
    <row r="64" spans="1:27" s="26" customFormat="1" ht="28.5" customHeight="1">
      <c r="A64" s="8" t="s">
        <v>53</v>
      </c>
      <c r="B64" s="29" t="s">
        <v>195</v>
      </c>
      <c r="C64" s="8" t="s">
        <v>222</v>
      </c>
      <c r="D64" s="8" t="s">
        <v>242</v>
      </c>
      <c r="E64" s="69" t="s">
        <v>243</v>
      </c>
      <c r="F64" s="8"/>
      <c r="G64" s="8" t="s">
        <v>62</v>
      </c>
      <c r="H64" s="8" t="s">
        <v>244</v>
      </c>
      <c r="I64" s="8" t="s">
        <v>226</v>
      </c>
      <c r="J64" s="8"/>
      <c r="K64" s="8"/>
      <c r="L64" s="8"/>
      <c r="M64" s="8"/>
      <c r="N64" s="8"/>
      <c r="O64" s="8"/>
      <c r="P64" s="60"/>
      <c r="Q64" s="46"/>
      <c r="R64" s="38" t="s">
        <v>1450</v>
      </c>
      <c r="S64" s="8" t="s">
        <v>1451</v>
      </c>
      <c r="T64" s="8" t="s">
        <v>1452</v>
      </c>
      <c r="U64" s="8" t="s">
        <v>1363</v>
      </c>
      <c r="V64" s="8" t="s">
        <v>1191</v>
      </c>
      <c r="W64" s="8" t="s">
        <v>1453</v>
      </c>
      <c r="X64" s="8" t="s">
        <v>10</v>
      </c>
      <c r="Y64" s="8"/>
      <c r="Z64" s="503" t="s">
        <v>1454</v>
      </c>
      <c r="AA64" s="8" t="s">
        <v>1455</v>
      </c>
    </row>
    <row r="65" spans="1:27" s="26" customFormat="1" ht="28.5" customHeight="1">
      <c r="A65" s="8" t="s">
        <v>53</v>
      </c>
      <c r="B65" s="29" t="s">
        <v>195</v>
      </c>
      <c r="C65" s="8" t="s">
        <v>222</v>
      </c>
      <c r="D65" s="8" t="s">
        <v>245</v>
      </c>
      <c r="E65" s="69" t="s">
        <v>246</v>
      </c>
      <c r="F65" s="8"/>
      <c r="G65" s="8" t="s">
        <v>62</v>
      </c>
      <c r="H65" s="8" t="s">
        <v>247</v>
      </c>
      <c r="I65" s="8" t="s">
        <v>226</v>
      </c>
      <c r="J65" s="8"/>
      <c r="K65" s="8"/>
      <c r="L65" s="8"/>
      <c r="M65" s="8"/>
      <c r="N65" s="8"/>
      <c r="O65" s="8"/>
      <c r="P65" s="60"/>
      <c r="Q65" s="46"/>
      <c r="R65" s="38" t="s">
        <v>1450</v>
      </c>
      <c r="S65" s="8" t="s">
        <v>1451</v>
      </c>
      <c r="T65" s="8" t="s">
        <v>1452</v>
      </c>
      <c r="U65" s="8" t="s">
        <v>1363</v>
      </c>
      <c r="V65" s="8" t="s">
        <v>1191</v>
      </c>
      <c r="W65" s="8" t="s">
        <v>1453</v>
      </c>
      <c r="X65" s="8" t="s">
        <v>10</v>
      </c>
      <c r="Y65" s="8"/>
      <c r="Z65" s="503" t="s">
        <v>1454</v>
      </c>
      <c r="AA65" s="8" t="s">
        <v>1455</v>
      </c>
    </row>
    <row r="66" spans="1:27" s="26" customFormat="1" ht="28.5" customHeight="1">
      <c r="A66" s="8" t="s">
        <v>53</v>
      </c>
      <c r="B66" s="29" t="s">
        <v>195</v>
      </c>
      <c r="C66" s="8" t="s">
        <v>222</v>
      </c>
      <c r="D66" s="8" t="s">
        <v>248</v>
      </c>
      <c r="E66" s="69" t="s">
        <v>249</v>
      </c>
      <c r="F66" s="8"/>
      <c r="G66" s="8" t="s">
        <v>62</v>
      </c>
      <c r="H66" s="8" t="s">
        <v>250</v>
      </c>
      <c r="I66" s="8" t="s">
        <v>226</v>
      </c>
      <c r="J66" s="8"/>
      <c r="K66" s="8"/>
      <c r="L66" s="8"/>
      <c r="M66" s="8"/>
      <c r="N66" s="8"/>
      <c r="O66" s="8"/>
      <c r="P66" s="60"/>
      <c r="Q66" s="46"/>
      <c r="R66" s="38" t="s">
        <v>1450</v>
      </c>
      <c r="S66" s="8" t="s">
        <v>1451</v>
      </c>
      <c r="T66" s="8" t="s">
        <v>1452</v>
      </c>
      <c r="U66" s="8" t="s">
        <v>1363</v>
      </c>
      <c r="V66" s="8" t="s">
        <v>1191</v>
      </c>
      <c r="W66" s="8" t="s">
        <v>1453</v>
      </c>
      <c r="X66" s="8" t="s">
        <v>10</v>
      </c>
      <c r="Y66" s="8"/>
      <c r="Z66" s="503" t="s">
        <v>1454</v>
      </c>
      <c r="AA66" s="8" t="s">
        <v>1455</v>
      </c>
    </row>
    <row r="67" spans="1:27" s="26" customFormat="1" ht="28.5" hidden="1" customHeight="1">
      <c r="A67" s="8" t="s">
        <v>53</v>
      </c>
      <c r="B67" s="29" t="s">
        <v>195</v>
      </c>
      <c r="C67" s="8" t="s">
        <v>251</v>
      </c>
      <c r="D67" s="8" t="s">
        <v>252</v>
      </c>
      <c r="E67" s="8" t="s">
        <v>253</v>
      </c>
      <c r="F67" s="8"/>
      <c r="G67" s="8" t="s">
        <v>62</v>
      </c>
      <c r="H67" s="8" t="s">
        <v>254</v>
      </c>
      <c r="I67" s="8" t="s">
        <v>255</v>
      </c>
      <c r="J67" s="8"/>
      <c r="K67" s="8"/>
      <c r="L67" s="8"/>
      <c r="M67" s="8"/>
      <c r="N67" s="8"/>
      <c r="O67" s="8"/>
      <c r="P67" s="60"/>
      <c r="Q67" s="46"/>
      <c r="R67" s="38"/>
      <c r="S67" s="8"/>
      <c r="T67" s="8"/>
      <c r="U67" s="8"/>
      <c r="V67" s="8"/>
      <c r="W67" s="8"/>
      <c r="X67" s="8"/>
      <c r="Y67" s="8"/>
      <c r="Z67" s="503"/>
      <c r="AA67" s="8"/>
    </row>
    <row r="68" spans="1:27" s="26" customFormat="1" ht="28.5" hidden="1" customHeight="1">
      <c r="A68" s="8" t="s">
        <v>53</v>
      </c>
      <c r="B68" s="29" t="s">
        <v>195</v>
      </c>
      <c r="C68" s="8" t="s">
        <v>256</v>
      </c>
      <c r="D68" s="8" t="s">
        <v>257</v>
      </c>
      <c r="E68" s="8" t="s">
        <v>258</v>
      </c>
      <c r="F68" s="8"/>
      <c r="G68" s="8" t="s">
        <v>62</v>
      </c>
      <c r="H68" s="8" t="s">
        <v>259</v>
      </c>
      <c r="I68" s="8" t="s">
        <v>260</v>
      </c>
      <c r="J68" s="8"/>
      <c r="K68" s="8"/>
      <c r="L68" s="8"/>
      <c r="M68" s="8"/>
      <c r="N68" s="8"/>
      <c r="O68" s="8"/>
      <c r="P68" s="60"/>
      <c r="Q68" s="46"/>
      <c r="R68" s="38"/>
      <c r="S68" s="8"/>
      <c r="T68" s="8"/>
      <c r="U68" s="8"/>
      <c r="V68" s="8"/>
      <c r="W68" s="8"/>
      <c r="X68" s="8"/>
      <c r="Y68" s="8"/>
      <c r="Z68" s="503"/>
      <c r="AA68" s="8"/>
    </row>
    <row r="69" spans="1:27" s="26" customFormat="1" ht="28.5" customHeight="1">
      <c r="A69" s="8" t="s">
        <v>53</v>
      </c>
      <c r="B69" s="29" t="s">
        <v>195</v>
      </c>
      <c r="C69" s="8" t="s">
        <v>256</v>
      </c>
      <c r="D69" s="8" t="s">
        <v>261</v>
      </c>
      <c r="E69" s="8" t="s">
        <v>262</v>
      </c>
      <c r="F69" s="8"/>
      <c r="G69" s="8" t="s">
        <v>62</v>
      </c>
      <c r="H69" s="8" t="s">
        <v>263</v>
      </c>
      <c r="I69" s="8" t="s">
        <v>260</v>
      </c>
      <c r="J69" s="8"/>
      <c r="K69" s="8"/>
      <c r="L69" s="8"/>
      <c r="M69" s="8"/>
      <c r="N69" s="8"/>
      <c r="O69" s="8"/>
      <c r="P69" s="60"/>
      <c r="Q69" s="46"/>
      <c r="R69" s="37" t="s">
        <v>1354</v>
      </c>
      <c r="S69" s="8" t="s">
        <v>1440</v>
      </c>
      <c r="T69" s="9" t="s">
        <v>1356</v>
      </c>
      <c r="U69" s="8" t="s">
        <v>1357</v>
      </c>
      <c r="V69" s="8" t="s">
        <v>1191</v>
      </c>
      <c r="W69" s="150" t="s">
        <v>1358</v>
      </c>
      <c r="X69" s="8" t="s">
        <v>9</v>
      </c>
      <c r="Y69" s="8" t="s">
        <v>1456</v>
      </c>
      <c r="Z69" s="503">
        <v>0</v>
      </c>
      <c r="AA69" s="8" t="s">
        <v>1457</v>
      </c>
    </row>
    <row r="70" spans="1:27" s="26" customFormat="1" ht="28.5" customHeight="1">
      <c r="A70" s="8" t="s">
        <v>53</v>
      </c>
      <c r="B70" s="29" t="s">
        <v>195</v>
      </c>
      <c r="C70" s="8" t="s">
        <v>256</v>
      </c>
      <c r="D70" s="8" t="s">
        <v>264</v>
      </c>
      <c r="E70" s="8" t="s">
        <v>265</v>
      </c>
      <c r="F70" s="8"/>
      <c r="G70" s="8" t="s">
        <v>62</v>
      </c>
      <c r="H70" s="8" t="s">
        <v>266</v>
      </c>
      <c r="I70" s="8" t="s">
        <v>260</v>
      </c>
      <c r="J70" s="8"/>
      <c r="K70" s="8"/>
      <c r="L70" s="8"/>
      <c r="M70" s="8"/>
      <c r="N70" s="8"/>
      <c r="O70" s="8"/>
      <c r="P70" s="60"/>
      <c r="Q70" s="46"/>
      <c r="R70" s="37" t="s">
        <v>1354</v>
      </c>
      <c r="S70" s="9" t="s">
        <v>1355</v>
      </c>
      <c r="T70" s="9" t="s">
        <v>1356</v>
      </c>
      <c r="U70" s="9" t="s">
        <v>1357</v>
      </c>
      <c r="V70" s="9" t="s">
        <v>1191</v>
      </c>
      <c r="W70" s="150" t="s">
        <v>1358</v>
      </c>
      <c r="X70" s="9" t="s">
        <v>9</v>
      </c>
      <c r="Y70" s="8" t="s">
        <v>1458</v>
      </c>
      <c r="Z70" s="503">
        <v>0</v>
      </c>
      <c r="AA70" s="8" t="s">
        <v>1457</v>
      </c>
    </row>
    <row r="71" spans="1:27" s="26" customFormat="1" ht="28.5" customHeight="1">
      <c r="A71" s="8" t="s">
        <v>53</v>
      </c>
      <c r="B71" s="29" t="s">
        <v>195</v>
      </c>
      <c r="C71" s="8" t="s">
        <v>256</v>
      </c>
      <c r="D71" s="8" t="s">
        <v>267</v>
      </c>
      <c r="E71" s="8" t="s">
        <v>268</v>
      </c>
      <c r="F71" s="8"/>
      <c r="G71" s="8" t="s">
        <v>62</v>
      </c>
      <c r="H71" s="8" t="s">
        <v>269</v>
      </c>
      <c r="I71" s="8" t="s">
        <v>270</v>
      </c>
      <c r="J71" s="8"/>
      <c r="K71" s="8"/>
      <c r="L71" s="8"/>
      <c r="M71" s="8"/>
      <c r="N71" s="8"/>
      <c r="O71" s="8"/>
      <c r="P71" s="60"/>
      <c r="Q71" s="46"/>
      <c r="R71" s="38" t="s">
        <v>1439</v>
      </c>
      <c r="S71" s="8" t="s">
        <v>1440</v>
      </c>
      <c r="T71" s="8" t="s">
        <v>1441</v>
      </c>
      <c r="U71" s="8" t="s">
        <v>1357</v>
      </c>
      <c r="V71" s="8" t="s">
        <v>1191</v>
      </c>
      <c r="W71" s="8">
        <v>2027</v>
      </c>
      <c r="X71" s="8" t="s">
        <v>11</v>
      </c>
      <c r="Y71" s="8" t="s">
        <v>1442</v>
      </c>
      <c r="Z71" s="503">
        <v>0</v>
      </c>
      <c r="AA71" s="8" t="s">
        <v>1459</v>
      </c>
    </row>
    <row r="72" spans="1:27" s="26" customFormat="1" ht="28.5" hidden="1" customHeight="1">
      <c r="A72" s="8" t="s">
        <v>53</v>
      </c>
      <c r="B72" s="29" t="s">
        <v>195</v>
      </c>
      <c r="C72" s="8" t="s">
        <v>256</v>
      </c>
      <c r="D72" s="8" t="s">
        <v>271</v>
      </c>
      <c r="E72" s="8" t="s">
        <v>272</v>
      </c>
      <c r="F72" s="8"/>
      <c r="G72" s="8" t="s">
        <v>71</v>
      </c>
      <c r="H72" s="8" t="s">
        <v>273</v>
      </c>
      <c r="I72" s="8" t="s">
        <v>135</v>
      </c>
      <c r="J72" s="8"/>
      <c r="K72" s="8"/>
      <c r="L72" s="8"/>
      <c r="M72" s="8"/>
      <c r="N72" s="8"/>
      <c r="O72" s="8"/>
      <c r="P72" s="60"/>
      <c r="Q72" s="46"/>
      <c r="R72" s="38"/>
      <c r="S72" s="8"/>
      <c r="T72" s="8"/>
      <c r="U72" s="8"/>
      <c r="V72" s="8"/>
      <c r="W72" s="8"/>
      <c r="X72" s="8"/>
      <c r="Y72" s="8"/>
      <c r="Z72" s="503"/>
      <c r="AA72" s="8"/>
    </row>
    <row r="73" spans="1:27" s="26" customFormat="1" ht="28.5" hidden="1" customHeight="1">
      <c r="A73" s="8" t="s">
        <v>53</v>
      </c>
      <c r="B73" s="29" t="s">
        <v>274</v>
      </c>
      <c r="C73" s="8" t="s">
        <v>275</v>
      </c>
      <c r="D73" s="8" t="s">
        <v>276</v>
      </c>
      <c r="E73" s="8" t="s">
        <v>277</v>
      </c>
      <c r="F73" s="8"/>
      <c r="G73" s="20" t="s">
        <v>62</v>
      </c>
      <c r="H73" s="20"/>
      <c r="I73" s="20"/>
      <c r="J73" s="20"/>
      <c r="K73" s="20"/>
      <c r="L73" s="20"/>
      <c r="M73" s="20"/>
      <c r="N73" s="20"/>
      <c r="O73" s="20"/>
      <c r="P73" s="35"/>
      <c r="Q73" s="46"/>
      <c r="R73" s="39"/>
      <c r="S73" s="20"/>
      <c r="T73" s="20"/>
      <c r="U73" s="20"/>
      <c r="V73" s="20"/>
      <c r="W73" s="20"/>
      <c r="X73" s="20"/>
      <c r="Y73" s="20"/>
      <c r="Z73" s="504"/>
      <c r="AA73" s="20"/>
    </row>
    <row r="74" spans="1:27" s="26" customFormat="1" ht="28.5" customHeight="1">
      <c r="A74" s="8"/>
      <c r="B74" s="29" t="s">
        <v>274</v>
      </c>
      <c r="C74" s="8" t="s">
        <v>275</v>
      </c>
      <c r="D74" s="8" t="s">
        <v>278</v>
      </c>
      <c r="E74" s="69" t="s">
        <v>279</v>
      </c>
      <c r="F74" s="8"/>
      <c r="G74" s="8" t="s">
        <v>62</v>
      </c>
      <c r="H74" s="8" t="s">
        <v>280</v>
      </c>
      <c r="I74" s="17">
        <v>1</v>
      </c>
      <c r="J74" s="8"/>
      <c r="K74" s="8"/>
      <c r="L74" s="8"/>
      <c r="M74" s="8"/>
      <c r="N74" s="8"/>
      <c r="O74" s="8"/>
      <c r="P74" s="60"/>
      <c r="Q74" s="46"/>
      <c r="R74" s="38" t="s">
        <v>1460</v>
      </c>
      <c r="S74" s="8" t="s">
        <v>1461</v>
      </c>
      <c r="T74" s="8" t="s">
        <v>1462</v>
      </c>
      <c r="U74" s="8" t="s">
        <v>1357</v>
      </c>
      <c r="V74" s="8" t="s">
        <v>1191</v>
      </c>
      <c r="W74" s="8">
        <v>2023</v>
      </c>
      <c r="X74" s="8" t="s">
        <v>9</v>
      </c>
      <c r="Y74" s="8" t="s">
        <v>1463</v>
      </c>
      <c r="Z74" s="503">
        <v>0</v>
      </c>
      <c r="AA74" s="8" t="s">
        <v>1464</v>
      </c>
    </row>
    <row r="75" spans="1:27" s="26" customFormat="1" ht="28.5" customHeight="1">
      <c r="A75" s="8" t="s">
        <v>53</v>
      </c>
      <c r="B75" s="29" t="s">
        <v>274</v>
      </c>
      <c r="C75" s="8" t="s">
        <v>275</v>
      </c>
      <c r="D75" s="8" t="s">
        <v>281</v>
      </c>
      <c r="E75" s="69" t="s">
        <v>279</v>
      </c>
      <c r="F75" s="8"/>
      <c r="G75" s="8" t="s">
        <v>62</v>
      </c>
      <c r="H75" s="8" t="s">
        <v>282</v>
      </c>
      <c r="I75" s="17">
        <v>1</v>
      </c>
      <c r="J75" s="9"/>
      <c r="K75" s="9"/>
      <c r="L75" s="9"/>
      <c r="M75" s="9"/>
      <c r="N75" s="9"/>
      <c r="O75" s="9"/>
      <c r="P75" s="60"/>
      <c r="Q75" s="47"/>
      <c r="R75" s="38" t="s">
        <v>1460</v>
      </c>
      <c r="S75" s="8" t="s">
        <v>1461</v>
      </c>
      <c r="T75" s="8" t="s">
        <v>1462</v>
      </c>
      <c r="U75" s="8" t="s">
        <v>1357</v>
      </c>
      <c r="V75" s="8" t="s">
        <v>1191</v>
      </c>
      <c r="W75" s="8">
        <v>2023</v>
      </c>
      <c r="X75" s="8" t="s">
        <v>9</v>
      </c>
      <c r="Y75" s="8" t="s">
        <v>1463</v>
      </c>
      <c r="Z75" s="503">
        <v>0</v>
      </c>
      <c r="AA75" s="8" t="s">
        <v>1464</v>
      </c>
    </row>
    <row r="76" spans="1:27" s="26" customFormat="1" ht="28.5" customHeight="1">
      <c r="A76" s="8" t="s">
        <v>53</v>
      </c>
      <c r="B76" s="29" t="s">
        <v>274</v>
      </c>
      <c r="C76" s="8" t="s">
        <v>275</v>
      </c>
      <c r="D76" s="8" t="s">
        <v>283</v>
      </c>
      <c r="E76" s="69" t="s">
        <v>284</v>
      </c>
      <c r="F76" s="8"/>
      <c r="G76" s="8" t="s">
        <v>62</v>
      </c>
      <c r="H76" s="8" t="s">
        <v>285</v>
      </c>
      <c r="I76" s="17">
        <v>1</v>
      </c>
      <c r="J76" s="8"/>
      <c r="K76" s="8"/>
      <c r="L76" s="8"/>
      <c r="M76" s="8"/>
      <c r="N76" s="8"/>
      <c r="O76" s="8"/>
      <c r="P76" s="60"/>
      <c r="Q76" s="46"/>
      <c r="R76" s="38" t="s">
        <v>1460</v>
      </c>
      <c r="S76" s="8" t="s">
        <v>1461</v>
      </c>
      <c r="T76" s="8" t="s">
        <v>1462</v>
      </c>
      <c r="U76" s="8" t="s">
        <v>1357</v>
      </c>
      <c r="V76" s="8" t="s">
        <v>1191</v>
      </c>
      <c r="W76" s="8">
        <v>2023</v>
      </c>
      <c r="X76" s="8" t="s">
        <v>9</v>
      </c>
      <c r="Y76" s="8" t="s">
        <v>1463</v>
      </c>
      <c r="Z76" s="503">
        <v>0</v>
      </c>
      <c r="AA76" s="8" t="s">
        <v>1464</v>
      </c>
    </row>
    <row r="77" spans="1:27" s="26" customFormat="1" ht="28.5" customHeight="1">
      <c r="A77" s="8"/>
      <c r="B77" s="29" t="s">
        <v>274</v>
      </c>
      <c r="C77" s="8" t="s">
        <v>275</v>
      </c>
      <c r="D77" s="8" t="s">
        <v>286</v>
      </c>
      <c r="E77" s="69" t="s">
        <v>284</v>
      </c>
      <c r="F77" s="8"/>
      <c r="G77" s="8" t="s">
        <v>62</v>
      </c>
      <c r="H77" s="8" t="s">
        <v>287</v>
      </c>
      <c r="I77" s="17">
        <v>1</v>
      </c>
      <c r="J77" s="8"/>
      <c r="K77" s="8"/>
      <c r="L77" s="8"/>
      <c r="M77" s="8"/>
      <c r="N77" s="8"/>
      <c r="O77" s="8"/>
      <c r="P77" s="60"/>
      <c r="Q77" s="46"/>
      <c r="R77" s="38" t="s">
        <v>1460</v>
      </c>
      <c r="S77" s="8" t="s">
        <v>1461</v>
      </c>
      <c r="T77" s="8" t="s">
        <v>1462</v>
      </c>
      <c r="U77" s="8" t="s">
        <v>1357</v>
      </c>
      <c r="V77" s="8" t="s">
        <v>1191</v>
      </c>
      <c r="W77" s="8">
        <v>2023</v>
      </c>
      <c r="X77" s="8" t="s">
        <v>9</v>
      </c>
      <c r="Y77" s="8" t="s">
        <v>1463</v>
      </c>
      <c r="Z77" s="503">
        <v>0</v>
      </c>
      <c r="AA77" s="8" t="s">
        <v>1464</v>
      </c>
    </row>
    <row r="78" spans="1:27" s="26" customFormat="1" ht="28.5" customHeight="1">
      <c r="A78" s="8" t="s">
        <v>53</v>
      </c>
      <c r="B78" s="29" t="s">
        <v>274</v>
      </c>
      <c r="C78" s="8" t="s">
        <v>275</v>
      </c>
      <c r="D78" s="8" t="s">
        <v>288</v>
      </c>
      <c r="E78" s="69" t="s">
        <v>289</v>
      </c>
      <c r="F78" s="8"/>
      <c r="G78" s="8" t="s">
        <v>62</v>
      </c>
      <c r="H78" s="8" t="s">
        <v>290</v>
      </c>
      <c r="I78" s="17">
        <v>1</v>
      </c>
      <c r="J78" s="8"/>
      <c r="K78" s="8"/>
      <c r="L78" s="8"/>
      <c r="M78" s="8"/>
      <c r="N78" s="8"/>
      <c r="O78" s="8"/>
      <c r="P78" s="60"/>
      <c r="Q78" s="46"/>
      <c r="R78" s="38" t="s">
        <v>1460</v>
      </c>
      <c r="S78" s="8" t="s">
        <v>1461</v>
      </c>
      <c r="T78" s="8" t="s">
        <v>1462</v>
      </c>
      <c r="U78" s="8" t="s">
        <v>1357</v>
      </c>
      <c r="V78" s="8" t="s">
        <v>1191</v>
      </c>
      <c r="W78" s="8">
        <v>2023</v>
      </c>
      <c r="X78" s="8" t="s">
        <v>9</v>
      </c>
      <c r="Y78" s="8" t="s">
        <v>1463</v>
      </c>
      <c r="Z78" s="503">
        <v>0</v>
      </c>
      <c r="AA78" s="8" t="s">
        <v>1464</v>
      </c>
    </row>
    <row r="79" spans="1:27" s="26" customFormat="1" ht="28.5" customHeight="1">
      <c r="A79" s="8" t="s">
        <v>53</v>
      </c>
      <c r="B79" s="29" t="s">
        <v>274</v>
      </c>
      <c r="C79" s="8" t="s">
        <v>275</v>
      </c>
      <c r="D79" s="8" t="s">
        <v>291</v>
      </c>
      <c r="E79" s="69" t="s">
        <v>289</v>
      </c>
      <c r="F79" s="8"/>
      <c r="G79" s="8" t="s">
        <v>62</v>
      </c>
      <c r="H79" s="8" t="s">
        <v>292</v>
      </c>
      <c r="I79" s="17">
        <v>1</v>
      </c>
      <c r="J79" s="8"/>
      <c r="K79" s="8"/>
      <c r="L79" s="8"/>
      <c r="M79" s="8"/>
      <c r="N79" s="8"/>
      <c r="O79" s="8"/>
      <c r="P79" s="60"/>
      <c r="Q79" s="46"/>
      <c r="R79" s="38" t="s">
        <v>1460</v>
      </c>
      <c r="S79" s="8" t="s">
        <v>1461</v>
      </c>
      <c r="T79" s="8" t="s">
        <v>1462</v>
      </c>
      <c r="U79" s="8" t="s">
        <v>1357</v>
      </c>
      <c r="V79" s="8" t="s">
        <v>1191</v>
      </c>
      <c r="W79" s="8">
        <v>2023</v>
      </c>
      <c r="X79" s="8" t="s">
        <v>9</v>
      </c>
      <c r="Y79" s="8" t="s">
        <v>1463</v>
      </c>
      <c r="Z79" s="503">
        <v>0</v>
      </c>
      <c r="AA79" s="8" t="s">
        <v>1464</v>
      </c>
    </row>
    <row r="80" spans="1:27" s="26" customFormat="1" ht="28.5" hidden="1" customHeight="1">
      <c r="A80" s="8" t="s">
        <v>53</v>
      </c>
      <c r="B80" s="29" t="s">
        <v>274</v>
      </c>
      <c r="C80" s="8" t="s">
        <v>293</v>
      </c>
      <c r="D80" s="8" t="s">
        <v>294</v>
      </c>
      <c r="E80" s="8" t="s">
        <v>295</v>
      </c>
      <c r="F80" s="8"/>
      <c r="G80" s="8" t="s">
        <v>71</v>
      </c>
      <c r="H80" s="8" t="s">
        <v>296</v>
      </c>
      <c r="I80" s="8" t="s">
        <v>297</v>
      </c>
      <c r="J80" s="8"/>
      <c r="K80" s="8"/>
      <c r="L80" s="8"/>
      <c r="M80" s="8"/>
      <c r="N80" s="8"/>
      <c r="O80" s="8"/>
      <c r="P80" s="60"/>
      <c r="Q80" s="46"/>
      <c r="R80" s="38"/>
      <c r="S80" s="8"/>
      <c r="T80" s="8"/>
      <c r="U80" s="8"/>
      <c r="V80" s="8"/>
      <c r="W80" s="8"/>
      <c r="X80" s="8"/>
      <c r="Y80" s="8"/>
      <c r="Z80" s="503"/>
      <c r="AA80" s="8"/>
    </row>
    <row r="81" spans="1:27" s="26" customFormat="1" ht="28.5" hidden="1" customHeight="1">
      <c r="A81" s="8" t="s">
        <v>53</v>
      </c>
      <c r="B81" s="29" t="s">
        <v>274</v>
      </c>
      <c r="C81" s="8" t="s">
        <v>298</v>
      </c>
      <c r="D81" s="8" t="s">
        <v>299</v>
      </c>
      <c r="E81" s="8" t="s">
        <v>300</v>
      </c>
      <c r="F81" s="8"/>
      <c r="G81" s="20" t="s">
        <v>62</v>
      </c>
      <c r="H81" s="20"/>
      <c r="I81" s="20"/>
      <c r="J81" s="20"/>
      <c r="K81" s="20"/>
      <c r="L81" s="20"/>
      <c r="M81" s="20"/>
      <c r="N81" s="20"/>
      <c r="O81" s="20"/>
      <c r="P81" s="35"/>
      <c r="Q81" s="46"/>
      <c r="R81" s="39"/>
      <c r="S81" s="20"/>
      <c r="T81" s="20"/>
      <c r="U81" s="20"/>
      <c r="V81" s="20"/>
      <c r="W81" s="20"/>
      <c r="X81" s="20"/>
      <c r="Y81" s="20"/>
      <c r="Z81" s="504"/>
      <c r="AA81" s="20"/>
    </row>
    <row r="82" spans="1:27" s="26" customFormat="1" ht="28.5" customHeight="1">
      <c r="A82" s="8" t="s">
        <v>53</v>
      </c>
      <c r="B82" s="29" t="s">
        <v>274</v>
      </c>
      <c r="C82" s="8" t="s">
        <v>298</v>
      </c>
      <c r="D82" s="8" t="s">
        <v>301</v>
      </c>
      <c r="E82" s="69" t="s">
        <v>302</v>
      </c>
      <c r="F82" s="8"/>
      <c r="G82" s="8" t="s">
        <v>62</v>
      </c>
      <c r="H82" s="8" t="s">
        <v>303</v>
      </c>
      <c r="I82" s="8" t="s">
        <v>210</v>
      </c>
      <c r="J82" s="8"/>
      <c r="K82" s="8"/>
      <c r="L82" s="8"/>
      <c r="M82" s="8"/>
      <c r="N82" s="8"/>
      <c r="O82" s="8"/>
      <c r="P82" s="60"/>
      <c r="Q82" s="46"/>
      <c r="R82" s="41" t="s">
        <v>1465</v>
      </c>
      <c r="S82" s="13" t="s">
        <v>1412</v>
      </c>
      <c r="T82" s="13" t="s">
        <v>1413</v>
      </c>
      <c r="U82" s="13" t="s">
        <v>1363</v>
      </c>
      <c r="V82" s="13" t="s">
        <v>1191</v>
      </c>
      <c r="W82" s="13">
        <v>2023</v>
      </c>
      <c r="X82" s="13" t="s">
        <v>9</v>
      </c>
      <c r="Y82" s="13" t="s">
        <v>1466</v>
      </c>
      <c r="Z82" s="506" t="s">
        <v>1467</v>
      </c>
      <c r="AA82" s="8" t="s">
        <v>1468</v>
      </c>
    </row>
    <row r="83" spans="1:27" s="26" customFormat="1" ht="28.5" customHeight="1">
      <c r="A83" s="8" t="s">
        <v>53</v>
      </c>
      <c r="B83" s="29" t="s">
        <v>274</v>
      </c>
      <c r="C83" s="8" t="s">
        <v>298</v>
      </c>
      <c r="D83" s="8" t="s">
        <v>304</v>
      </c>
      <c r="E83" s="69" t="s">
        <v>305</v>
      </c>
      <c r="F83" s="8"/>
      <c r="G83" s="8" t="s">
        <v>62</v>
      </c>
      <c r="H83" s="8" t="s">
        <v>306</v>
      </c>
      <c r="I83" s="8" t="s">
        <v>210</v>
      </c>
      <c r="J83" s="8"/>
      <c r="K83" s="8"/>
      <c r="L83" s="8"/>
      <c r="M83" s="8"/>
      <c r="N83" s="8"/>
      <c r="O83" s="8"/>
      <c r="P83" s="60"/>
      <c r="Q83" s="46"/>
      <c r="R83" s="41" t="s">
        <v>1465</v>
      </c>
      <c r="S83" s="13" t="s">
        <v>1412</v>
      </c>
      <c r="T83" s="13" t="s">
        <v>1413</v>
      </c>
      <c r="U83" s="13" t="s">
        <v>1363</v>
      </c>
      <c r="V83" s="13" t="s">
        <v>1191</v>
      </c>
      <c r="W83" s="13">
        <v>2023</v>
      </c>
      <c r="X83" s="13" t="s">
        <v>9</v>
      </c>
      <c r="Y83" s="13" t="s">
        <v>1466</v>
      </c>
      <c r="Z83" s="506" t="s">
        <v>1467</v>
      </c>
      <c r="AA83" s="8" t="s">
        <v>1468</v>
      </c>
    </row>
    <row r="84" spans="1:27" s="26" customFormat="1" ht="28.5" hidden="1" customHeight="1">
      <c r="A84" s="8" t="s">
        <v>53</v>
      </c>
      <c r="B84" s="29" t="s">
        <v>274</v>
      </c>
      <c r="C84" s="8" t="s">
        <v>298</v>
      </c>
      <c r="D84" s="8" t="s">
        <v>307</v>
      </c>
      <c r="E84" s="69" t="s">
        <v>308</v>
      </c>
      <c r="F84" s="8"/>
      <c r="G84" s="8" t="s">
        <v>62</v>
      </c>
      <c r="H84" s="8" t="s">
        <v>309</v>
      </c>
      <c r="I84" s="8" t="s">
        <v>210</v>
      </c>
      <c r="J84" s="8"/>
      <c r="K84" s="8"/>
      <c r="L84" s="8"/>
      <c r="M84" s="8"/>
      <c r="N84" s="8"/>
      <c r="O84" s="8"/>
      <c r="P84" s="60"/>
      <c r="Q84" s="46"/>
      <c r="R84" s="38"/>
      <c r="S84" s="8"/>
      <c r="T84" s="8"/>
      <c r="U84" s="8"/>
      <c r="V84" s="8"/>
      <c r="W84" s="8"/>
      <c r="X84" s="8"/>
      <c r="Y84" s="8"/>
      <c r="Z84" s="503"/>
      <c r="AA84" s="8"/>
    </row>
    <row r="85" spans="1:27" s="26" customFormat="1" ht="28.5" customHeight="1">
      <c r="A85" s="78" t="s">
        <v>53</v>
      </c>
      <c r="B85" s="79" t="s">
        <v>274</v>
      </c>
      <c r="C85" s="78" t="s">
        <v>298</v>
      </c>
      <c r="D85" s="78" t="s">
        <v>310</v>
      </c>
      <c r="E85" s="80" t="s">
        <v>311</v>
      </c>
      <c r="F85" s="78"/>
      <c r="G85" s="78" t="s">
        <v>62</v>
      </c>
      <c r="H85" s="78" t="s">
        <v>312</v>
      </c>
      <c r="I85" s="81">
        <v>1</v>
      </c>
      <c r="J85" s="78"/>
      <c r="K85" s="78"/>
      <c r="L85" s="78"/>
      <c r="M85" s="78"/>
      <c r="N85" s="78"/>
      <c r="O85" s="78"/>
      <c r="P85" s="82"/>
      <c r="Q85" s="46"/>
      <c r="R85" s="41" t="s">
        <v>1465</v>
      </c>
      <c r="S85" s="13" t="s">
        <v>1412</v>
      </c>
      <c r="T85" s="13" t="s">
        <v>1413</v>
      </c>
      <c r="U85" s="13" t="s">
        <v>1363</v>
      </c>
      <c r="V85" s="13" t="s">
        <v>1191</v>
      </c>
      <c r="W85" s="13">
        <v>2023</v>
      </c>
      <c r="X85" s="13" t="s">
        <v>9</v>
      </c>
      <c r="Y85" s="13" t="s">
        <v>1466</v>
      </c>
      <c r="Z85" s="506" t="s">
        <v>1467</v>
      </c>
      <c r="AA85" s="8" t="s">
        <v>1468</v>
      </c>
    </row>
    <row r="86" spans="1:27" s="26" customFormat="1" ht="28.5" customHeight="1">
      <c r="A86" s="76" t="s">
        <v>53</v>
      </c>
      <c r="B86" s="77" t="s">
        <v>274</v>
      </c>
      <c r="C86" s="76" t="s">
        <v>298</v>
      </c>
      <c r="D86" s="76" t="s">
        <v>313</v>
      </c>
      <c r="E86" s="76" t="s">
        <v>314</v>
      </c>
      <c r="F86" s="76"/>
      <c r="G86" s="76" t="s">
        <v>62</v>
      </c>
      <c r="H86" s="76" t="s">
        <v>315</v>
      </c>
      <c r="I86" s="76" t="s">
        <v>221</v>
      </c>
      <c r="J86" s="76"/>
      <c r="K86" s="76"/>
      <c r="L86" s="76"/>
      <c r="M86" s="76"/>
      <c r="N86" s="76"/>
      <c r="O86" s="89"/>
      <c r="P86" s="76"/>
      <c r="R86" s="151" t="s">
        <v>1469</v>
      </c>
      <c r="S86" s="8" t="s">
        <v>1425</v>
      </c>
      <c r="T86" s="152" t="s">
        <v>1470</v>
      </c>
      <c r="U86" s="8" t="s">
        <v>1363</v>
      </c>
      <c r="V86" s="8" t="s">
        <v>1191</v>
      </c>
      <c r="W86" s="8">
        <v>2031</v>
      </c>
      <c r="X86" s="8" t="s">
        <v>9</v>
      </c>
      <c r="Y86" s="8"/>
      <c r="Z86" s="503" t="s">
        <v>1471</v>
      </c>
      <c r="AA86" s="8"/>
    </row>
    <row r="87" spans="1:27" s="26" customFormat="1" ht="28.5" hidden="1" customHeight="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508"/>
      <c r="AA87" s="84"/>
    </row>
    <row r="88" spans="1:27" s="26" customFormat="1" ht="28.5" hidden="1" customHeight="1">
      <c r="A88" s="8" t="s">
        <v>53</v>
      </c>
      <c r="B88" s="29" t="s">
        <v>274</v>
      </c>
      <c r="C88" s="8" t="s">
        <v>319</v>
      </c>
      <c r="D88" s="8" t="s">
        <v>320</v>
      </c>
      <c r="E88" s="8" t="s">
        <v>321</v>
      </c>
      <c r="F88" s="8"/>
      <c r="G88" s="20" t="s">
        <v>62</v>
      </c>
      <c r="H88" s="20"/>
      <c r="I88" s="20"/>
      <c r="J88" s="20"/>
      <c r="K88" s="20"/>
      <c r="L88" s="20"/>
      <c r="M88" s="20"/>
      <c r="N88" s="20"/>
      <c r="O88" s="20"/>
      <c r="P88" s="35"/>
      <c r="Q88" s="46"/>
      <c r="R88" s="39"/>
      <c r="S88" s="20"/>
      <c r="T88" s="20"/>
      <c r="U88" s="20"/>
      <c r="V88" s="20"/>
      <c r="W88" s="20"/>
      <c r="X88" s="20"/>
      <c r="Y88" s="20"/>
      <c r="Z88" s="504"/>
      <c r="AA88" s="20"/>
    </row>
    <row r="89" spans="1:27" s="26" customFormat="1" ht="28.5" hidden="1" customHeight="1">
      <c r="A89" s="8" t="s">
        <v>53</v>
      </c>
      <c r="B89" s="29" t="s">
        <v>274</v>
      </c>
      <c r="C89" s="8" t="s">
        <v>319</v>
      </c>
      <c r="D89" s="8" t="s">
        <v>322</v>
      </c>
      <c r="E89" s="69" t="s">
        <v>323</v>
      </c>
      <c r="F89" s="8"/>
      <c r="G89" s="8" t="s">
        <v>62</v>
      </c>
      <c r="H89" s="8" t="s">
        <v>324</v>
      </c>
      <c r="I89" s="8" t="s">
        <v>325</v>
      </c>
      <c r="J89" s="8"/>
      <c r="K89" s="8"/>
      <c r="L89" s="8"/>
      <c r="M89" s="8"/>
      <c r="N89" s="8"/>
      <c r="O89" s="8"/>
      <c r="P89" s="60"/>
      <c r="Q89" s="46"/>
      <c r="R89" s="38"/>
      <c r="S89" s="8"/>
      <c r="T89" s="8"/>
      <c r="U89" s="8"/>
      <c r="V89" s="8"/>
      <c r="W89" s="8"/>
      <c r="X89" s="8"/>
      <c r="Y89" s="8"/>
      <c r="Z89" s="503"/>
      <c r="AA89" s="8"/>
    </row>
    <row r="90" spans="1:27" s="26" customFormat="1" ht="28.5" hidden="1" customHeight="1">
      <c r="A90" s="8" t="s">
        <v>53</v>
      </c>
      <c r="B90" s="29" t="s">
        <v>274</v>
      </c>
      <c r="C90" s="8" t="s">
        <v>319</v>
      </c>
      <c r="D90" s="8" t="s">
        <v>326</v>
      </c>
      <c r="E90" s="69" t="s">
        <v>327</v>
      </c>
      <c r="F90" s="8"/>
      <c r="G90" s="8" t="s">
        <v>62</v>
      </c>
      <c r="H90" s="8" t="s">
        <v>328</v>
      </c>
      <c r="I90" s="9">
        <v>1</v>
      </c>
      <c r="J90" s="8"/>
      <c r="K90" s="8"/>
      <c r="L90" s="8"/>
      <c r="M90" s="8"/>
      <c r="N90" s="8"/>
      <c r="O90" s="8"/>
      <c r="P90" s="60"/>
      <c r="Q90" s="46"/>
      <c r="R90" s="38"/>
      <c r="S90" s="8"/>
      <c r="T90" s="8"/>
      <c r="U90" s="8"/>
      <c r="V90" s="8"/>
      <c r="W90" s="8"/>
      <c r="X90" s="8"/>
      <c r="Y90" s="8"/>
      <c r="Z90" s="503"/>
      <c r="AA90" s="8"/>
    </row>
    <row r="91" spans="1:27" s="26" customFormat="1" ht="28.5" hidden="1" customHeight="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503"/>
      <c r="AA91" s="8"/>
    </row>
    <row r="92" spans="1:27" s="26" customFormat="1" ht="28.5" hidden="1" customHeight="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503"/>
      <c r="AA92" s="8"/>
    </row>
    <row r="93" spans="1:27" s="26" customFormat="1" ht="28.5" customHeight="1">
      <c r="A93" s="8" t="s">
        <v>53</v>
      </c>
      <c r="B93" s="29" t="s">
        <v>274</v>
      </c>
      <c r="C93" s="8" t="s">
        <v>319</v>
      </c>
      <c r="D93" s="8" t="s">
        <v>333</v>
      </c>
      <c r="E93" s="8" t="s">
        <v>334</v>
      </c>
      <c r="F93" s="8"/>
      <c r="G93" s="8" t="s">
        <v>62</v>
      </c>
      <c r="H93" s="8" t="s">
        <v>335</v>
      </c>
      <c r="I93" s="9">
        <v>1</v>
      </c>
      <c r="J93" s="9"/>
      <c r="K93" s="9"/>
      <c r="L93" s="9"/>
      <c r="M93" s="9"/>
      <c r="N93" s="9"/>
      <c r="O93" s="9"/>
      <c r="P93" s="60"/>
      <c r="Q93" s="47"/>
      <c r="R93" s="37" t="s">
        <v>1472</v>
      </c>
      <c r="S93" s="9" t="s">
        <v>1355</v>
      </c>
      <c r="T93" s="9" t="s">
        <v>1473</v>
      </c>
      <c r="U93" s="9" t="s">
        <v>1363</v>
      </c>
      <c r="V93" s="9" t="s">
        <v>1191</v>
      </c>
      <c r="W93" s="150" t="s">
        <v>1380</v>
      </c>
      <c r="X93" s="9" t="s">
        <v>9</v>
      </c>
      <c r="Y93" s="9" t="s">
        <v>1474</v>
      </c>
      <c r="Z93" s="503">
        <v>6000</v>
      </c>
      <c r="AA93" s="8"/>
    </row>
    <row r="94" spans="1:27" s="26" customFormat="1" ht="28.5" hidden="1" customHeight="1">
      <c r="A94" s="8" t="s">
        <v>53</v>
      </c>
      <c r="B94" s="29" t="s">
        <v>336</v>
      </c>
      <c r="C94" s="8" t="s">
        <v>337</v>
      </c>
      <c r="D94" s="8" t="s">
        <v>338</v>
      </c>
      <c r="E94" s="8" t="s">
        <v>339</v>
      </c>
      <c r="F94" s="8"/>
      <c r="G94" s="20" t="s">
        <v>71</v>
      </c>
      <c r="H94" s="20"/>
      <c r="I94" s="20"/>
      <c r="J94" s="20"/>
      <c r="K94" s="20"/>
      <c r="L94" s="20"/>
      <c r="M94" s="20"/>
      <c r="N94" s="20"/>
      <c r="O94" s="20"/>
      <c r="P94" s="35"/>
      <c r="Q94" s="46"/>
      <c r="R94" s="39"/>
      <c r="S94" s="20"/>
      <c r="T94" s="20"/>
      <c r="U94" s="20"/>
      <c r="V94" s="20"/>
      <c r="W94" s="20"/>
      <c r="X94" s="20"/>
      <c r="Y94" s="20"/>
      <c r="Z94" s="504"/>
      <c r="AA94" s="20"/>
    </row>
    <row r="95" spans="1:27" s="26" customFormat="1" ht="28.5" customHeight="1">
      <c r="A95" s="8" t="s">
        <v>53</v>
      </c>
      <c r="B95" s="29" t="s">
        <v>336</v>
      </c>
      <c r="C95" s="8" t="s">
        <v>337</v>
      </c>
      <c r="D95" s="8" t="s">
        <v>340</v>
      </c>
      <c r="E95" s="69" t="s">
        <v>341</v>
      </c>
      <c r="F95" s="8"/>
      <c r="G95" s="8" t="s">
        <v>62</v>
      </c>
      <c r="H95" s="8" t="s">
        <v>342</v>
      </c>
      <c r="I95" s="8" t="s">
        <v>343</v>
      </c>
      <c r="J95" s="8"/>
      <c r="K95" s="8"/>
      <c r="L95" s="8"/>
      <c r="M95" s="8"/>
      <c r="N95" s="8"/>
      <c r="O95" s="8"/>
      <c r="P95" s="60"/>
      <c r="Q95" s="46"/>
      <c r="R95" s="38" t="s">
        <v>1475</v>
      </c>
      <c r="S95" s="8" t="s">
        <v>1355</v>
      </c>
      <c r="T95" s="8" t="s">
        <v>1476</v>
      </c>
      <c r="U95" s="8" t="s">
        <v>1363</v>
      </c>
      <c r="V95" s="8" t="s">
        <v>1191</v>
      </c>
      <c r="W95" s="8">
        <v>2023</v>
      </c>
      <c r="X95" s="8" t="s">
        <v>9</v>
      </c>
      <c r="Y95" s="8"/>
      <c r="Z95" s="503">
        <v>5000</v>
      </c>
      <c r="AA95" s="8"/>
    </row>
    <row r="96" spans="1:27" s="26" customFormat="1" ht="28.5" hidden="1" customHeight="1">
      <c r="A96" s="8" t="s">
        <v>53</v>
      </c>
      <c r="B96" s="29" t="s">
        <v>336</v>
      </c>
      <c r="C96" s="8" t="s">
        <v>337</v>
      </c>
      <c r="D96" s="8" t="s">
        <v>344</v>
      </c>
      <c r="E96" s="69" t="s">
        <v>345</v>
      </c>
      <c r="F96" s="8"/>
      <c r="G96" s="8" t="s">
        <v>62</v>
      </c>
      <c r="H96" s="8" t="s">
        <v>346</v>
      </c>
      <c r="I96" s="8" t="s">
        <v>343</v>
      </c>
      <c r="J96" s="8"/>
      <c r="K96" s="8"/>
      <c r="L96" s="8"/>
      <c r="M96" s="8"/>
      <c r="N96" s="8"/>
      <c r="O96" s="8"/>
      <c r="P96" s="60"/>
      <c r="Q96" s="46"/>
      <c r="R96" s="38"/>
      <c r="S96" s="8"/>
      <c r="T96" s="8"/>
      <c r="U96" s="8"/>
      <c r="V96" s="8"/>
      <c r="W96" s="8"/>
      <c r="X96" s="8"/>
      <c r="Y96" s="8"/>
      <c r="Z96" s="503"/>
      <c r="AA96" s="8"/>
    </row>
    <row r="97" spans="1:27" s="26" customFormat="1" ht="28.5" hidden="1" customHeight="1">
      <c r="A97" s="8" t="s">
        <v>53</v>
      </c>
      <c r="B97" s="29" t="s">
        <v>336</v>
      </c>
      <c r="C97" s="8" t="s">
        <v>337</v>
      </c>
      <c r="D97" s="8" t="s">
        <v>347</v>
      </c>
      <c r="E97" s="8" t="s">
        <v>348</v>
      </c>
      <c r="F97" s="8"/>
      <c r="G97" s="8" t="s">
        <v>62</v>
      </c>
      <c r="H97" s="8" t="s">
        <v>349</v>
      </c>
      <c r="I97" s="8" t="s">
        <v>110</v>
      </c>
      <c r="J97" s="8"/>
      <c r="K97" s="8"/>
      <c r="L97" s="8"/>
      <c r="M97" s="8"/>
      <c r="N97" s="8"/>
      <c r="O97" s="8"/>
      <c r="P97" s="60"/>
      <c r="Q97" s="46"/>
      <c r="R97" s="38"/>
      <c r="S97" s="8"/>
      <c r="T97" s="8"/>
      <c r="U97" s="8"/>
      <c r="V97" s="8"/>
      <c r="W97" s="8"/>
      <c r="X97" s="8"/>
      <c r="Y97" s="8"/>
      <c r="Z97" s="503"/>
      <c r="AA97" s="8"/>
    </row>
    <row r="98" spans="1:27" s="26" customFormat="1" ht="56.25" hidden="1">
      <c r="A98" s="8" t="s">
        <v>53</v>
      </c>
      <c r="B98" s="29" t="s">
        <v>336</v>
      </c>
      <c r="C98" s="8" t="s">
        <v>337</v>
      </c>
      <c r="D98" s="8" t="s">
        <v>350</v>
      </c>
      <c r="E98" s="8" t="s">
        <v>351</v>
      </c>
      <c r="F98" s="8"/>
      <c r="G98" s="20" t="s">
        <v>58</v>
      </c>
      <c r="H98" s="20" t="s">
        <v>352</v>
      </c>
      <c r="I98" s="22">
        <v>1</v>
      </c>
      <c r="J98" s="20"/>
      <c r="K98" s="20"/>
      <c r="L98" s="20"/>
      <c r="M98" s="20"/>
      <c r="N98" s="20"/>
      <c r="O98" s="20"/>
      <c r="P98" s="35"/>
      <c r="Q98" s="46"/>
      <c r="R98" s="39"/>
      <c r="S98" s="20"/>
      <c r="T98" s="20"/>
      <c r="U98" s="20"/>
      <c r="V98" s="20"/>
      <c r="W98" s="20"/>
      <c r="X98" s="20"/>
      <c r="Y98" s="20"/>
      <c r="Z98" s="20"/>
      <c r="AA98" s="20"/>
    </row>
    <row r="99" spans="1:27" s="26" customFormat="1"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s="26" customFormat="1"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s="26" customFormat="1"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s="26" customFormat="1"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s="26" customFormat="1"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s="26" customFormat="1"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s="26" customFormat="1"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s="26" customFormat="1"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s="26" customFormat="1"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s="26" customFormat="1"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s="26" customFormat="1"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s="26" customFormat="1"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s="26" customFormat="1"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s="26" customFormat="1"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s="26" customFormat="1"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s="26" customFormat="1"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s="26" customFormat="1"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s="26" customFormat="1"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s="26" customFormat="1"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s="26" customFormat="1"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s="26" customFormat="1"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s="26" customFormat="1"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s="26" customFormat="1"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s="26" customFormat="1"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s="26" customFormat="1"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s="26" customFormat="1"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s="26" customFormat="1"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s="26" customFormat="1"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s="26" customFormat="1"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s="26" customFormat="1"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s="26" customFormat="1" ht="28.5" customHeight="1">
      <c r="A129" s="8" t="s">
        <v>53</v>
      </c>
      <c r="B129" s="29" t="s">
        <v>336</v>
      </c>
      <c r="C129" s="8" t="s">
        <v>413</v>
      </c>
      <c r="D129" s="8" t="s">
        <v>414</v>
      </c>
      <c r="E129" s="8" t="s">
        <v>415</v>
      </c>
      <c r="F129" s="8"/>
      <c r="G129" s="8" t="s">
        <v>62</v>
      </c>
      <c r="H129" s="8" t="s">
        <v>416</v>
      </c>
      <c r="I129" s="8">
        <v>6</v>
      </c>
      <c r="J129" s="8"/>
      <c r="K129" s="8"/>
      <c r="L129" s="8"/>
      <c r="M129" s="8"/>
      <c r="N129" s="8"/>
      <c r="O129" s="8"/>
      <c r="P129" s="60"/>
      <c r="Q129" s="46"/>
      <c r="R129" s="38" t="s">
        <v>1477</v>
      </c>
      <c r="S129" s="8" t="s">
        <v>1355</v>
      </c>
      <c r="T129" s="8" t="s">
        <v>1478</v>
      </c>
      <c r="U129" s="8" t="s">
        <v>1363</v>
      </c>
      <c r="V129" s="8" t="s">
        <v>1191</v>
      </c>
      <c r="W129" s="8">
        <v>2023</v>
      </c>
      <c r="X129" s="8" t="s">
        <v>9</v>
      </c>
      <c r="Y129" s="8" t="s">
        <v>1479</v>
      </c>
      <c r="Z129" s="503">
        <v>7000</v>
      </c>
      <c r="AA129" s="8" t="s">
        <v>1480</v>
      </c>
    </row>
    <row r="130" spans="1:27" s="26" customFormat="1" ht="28.5" hidden="1" customHeight="1">
      <c r="A130" s="8" t="s">
        <v>53</v>
      </c>
      <c r="B130" s="29" t="s">
        <v>336</v>
      </c>
      <c r="C130" s="8" t="s">
        <v>413</v>
      </c>
      <c r="D130" s="8" t="s">
        <v>417</v>
      </c>
      <c r="E130" s="8" t="s">
        <v>418</v>
      </c>
      <c r="F130" s="8"/>
      <c r="G130" s="8" t="s">
        <v>62</v>
      </c>
      <c r="H130" s="8" t="s">
        <v>419</v>
      </c>
      <c r="I130" s="8" t="s">
        <v>420</v>
      </c>
      <c r="J130" s="8"/>
      <c r="K130" s="8"/>
      <c r="L130" s="8"/>
      <c r="M130" s="8"/>
      <c r="N130" s="8"/>
      <c r="O130" s="8"/>
      <c r="P130" s="60"/>
      <c r="Q130" s="46"/>
      <c r="R130" s="38"/>
      <c r="S130" s="8"/>
      <c r="T130" s="8"/>
      <c r="U130" s="8"/>
      <c r="V130" s="8"/>
      <c r="W130" s="8"/>
      <c r="X130" s="8"/>
      <c r="Y130" s="8"/>
      <c r="Z130" s="503"/>
      <c r="AA130" s="8"/>
    </row>
    <row r="131" spans="1:27" s="26" customFormat="1" ht="63" hidden="1">
      <c r="A131" s="8" t="s">
        <v>53</v>
      </c>
      <c r="B131" s="29" t="s">
        <v>336</v>
      </c>
      <c r="C131" s="8" t="s">
        <v>413</v>
      </c>
      <c r="D131" s="8" t="s">
        <v>421</v>
      </c>
      <c r="E131" s="8" t="s">
        <v>422</v>
      </c>
      <c r="F131" s="8"/>
      <c r="G131" s="20" t="s">
        <v>58</v>
      </c>
      <c r="H131" s="20"/>
      <c r="I131" s="22"/>
      <c r="J131" s="20"/>
      <c r="K131" s="20"/>
      <c r="L131" s="20"/>
      <c r="M131" s="20"/>
      <c r="N131" s="20"/>
      <c r="O131" s="20"/>
      <c r="P131" s="35"/>
      <c r="Q131" s="46"/>
      <c r="R131" s="39"/>
      <c r="S131" s="20"/>
      <c r="T131" s="20"/>
      <c r="U131" s="20"/>
      <c r="V131" s="20"/>
      <c r="W131" s="20"/>
      <c r="X131" s="20"/>
      <c r="Y131" s="20"/>
      <c r="Z131" s="20"/>
      <c r="AA131" s="20"/>
    </row>
    <row r="132" spans="1:27" s="26" customFormat="1"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Q132" s="46"/>
      <c r="R132" s="38"/>
      <c r="S132" s="8"/>
      <c r="T132" s="8"/>
      <c r="U132" s="8"/>
      <c r="V132" s="8"/>
      <c r="W132" s="8"/>
      <c r="X132" s="8"/>
      <c r="Y132" s="8"/>
      <c r="Z132" s="8"/>
      <c r="AA132" s="8"/>
    </row>
    <row r="133" spans="1:27" s="26" customFormat="1"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Q133" s="46"/>
      <c r="R133" s="38"/>
      <c r="S133" s="8"/>
      <c r="T133" s="8"/>
      <c r="U133" s="8"/>
      <c r="V133" s="8"/>
      <c r="W133" s="8"/>
      <c r="X133" s="8"/>
      <c r="Y133" s="8"/>
      <c r="Z133" s="8"/>
      <c r="AA133" s="8"/>
    </row>
    <row r="134" spans="1:27" s="26" customFormat="1" ht="28.5" hidden="1" customHeight="1">
      <c r="A134" s="8" t="s">
        <v>53</v>
      </c>
      <c r="B134" s="29" t="s">
        <v>336</v>
      </c>
      <c r="C134" s="8" t="s">
        <v>429</v>
      </c>
      <c r="D134" s="8" t="s">
        <v>430</v>
      </c>
      <c r="E134" s="8" t="s">
        <v>431</v>
      </c>
      <c r="F134" s="8"/>
      <c r="G134" s="8" t="s">
        <v>71</v>
      </c>
      <c r="H134" s="8" t="s">
        <v>432</v>
      </c>
      <c r="I134" s="8">
        <v>2030</v>
      </c>
      <c r="J134" s="8"/>
      <c r="K134" s="8"/>
      <c r="L134" s="8"/>
      <c r="M134" s="8"/>
      <c r="N134" s="8"/>
      <c r="O134" s="8"/>
      <c r="P134" s="60"/>
      <c r="Q134" s="46"/>
      <c r="R134" s="38"/>
      <c r="S134" s="8"/>
      <c r="T134" s="8"/>
      <c r="U134" s="8"/>
      <c r="V134" s="8"/>
      <c r="W134" s="8"/>
      <c r="X134" s="8"/>
      <c r="Y134" s="8"/>
      <c r="Z134" s="503"/>
      <c r="AA134" s="8"/>
    </row>
    <row r="135" spans="1:27" s="26" customFormat="1"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Q135" s="46"/>
      <c r="R135" s="39"/>
      <c r="S135" s="20"/>
      <c r="T135" s="20"/>
      <c r="U135" s="20"/>
      <c r="V135" s="20"/>
      <c r="W135" s="20"/>
      <c r="X135" s="20"/>
      <c r="Y135" s="20"/>
      <c r="Z135" s="20"/>
      <c r="AA135" s="20"/>
    </row>
    <row r="136" spans="1:27" s="26" customFormat="1"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Q136" s="46"/>
      <c r="R136" s="38"/>
      <c r="S136" s="8"/>
      <c r="T136" s="8"/>
      <c r="U136" s="8"/>
      <c r="V136" s="8"/>
      <c r="W136" s="8"/>
      <c r="X136" s="8"/>
      <c r="Y136" s="8"/>
      <c r="Z136" s="8"/>
      <c r="AA136" s="8"/>
    </row>
    <row r="137" spans="1:27" s="26" customFormat="1"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Q137" s="46"/>
      <c r="R137" s="38"/>
      <c r="S137" s="8"/>
      <c r="T137" s="8"/>
      <c r="U137" s="8"/>
      <c r="V137" s="8"/>
      <c r="W137" s="8"/>
      <c r="X137" s="8"/>
      <c r="Y137" s="8"/>
      <c r="Z137" s="8"/>
      <c r="AA137" s="8"/>
    </row>
    <row r="138" spans="1:27" s="26" customFormat="1"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Q138" s="46"/>
      <c r="R138" s="38"/>
      <c r="S138" s="8"/>
      <c r="T138" s="8"/>
      <c r="U138" s="8"/>
      <c r="V138" s="8"/>
      <c r="W138" s="8"/>
      <c r="X138" s="8"/>
      <c r="Y138" s="8"/>
      <c r="Z138" s="8"/>
      <c r="AA138" s="8"/>
    </row>
    <row r="139" spans="1:27" s="26" customFormat="1"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Q139" s="46"/>
      <c r="R139" s="38"/>
      <c r="S139" s="8"/>
      <c r="T139" s="8"/>
      <c r="U139" s="8"/>
      <c r="V139" s="8"/>
      <c r="W139" s="8"/>
      <c r="X139" s="8"/>
      <c r="Y139" s="8"/>
      <c r="Z139" s="8"/>
      <c r="AA139" s="8"/>
    </row>
    <row r="140" spans="1:27" s="26" customFormat="1"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Q140" s="46"/>
      <c r="R140" s="38"/>
      <c r="S140" s="8"/>
      <c r="T140" s="8"/>
      <c r="U140" s="8"/>
      <c r="V140" s="8"/>
      <c r="W140" s="8"/>
      <c r="X140" s="8"/>
      <c r="Y140" s="8"/>
      <c r="Z140" s="8"/>
      <c r="AA140" s="8"/>
    </row>
    <row r="141" spans="1:27" s="26" customFormat="1"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Q141" s="46"/>
      <c r="R141" s="38"/>
      <c r="S141" s="8"/>
      <c r="T141" s="8"/>
      <c r="U141" s="8"/>
      <c r="V141" s="8"/>
      <c r="W141" s="8"/>
      <c r="X141" s="8"/>
      <c r="Y141" s="8"/>
      <c r="Z141" s="8"/>
      <c r="AA141" s="8"/>
    </row>
    <row r="142" spans="1:27" s="26" customFormat="1"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Q142" s="46"/>
      <c r="R142" s="39"/>
      <c r="S142" s="20"/>
      <c r="T142" s="20"/>
      <c r="U142" s="20"/>
      <c r="V142" s="20"/>
      <c r="W142" s="20"/>
      <c r="X142" s="20"/>
      <c r="Y142" s="20"/>
      <c r="Z142" s="20"/>
      <c r="AA142" s="20"/>
    </row>
    <row r="143" spans="1:27" s="26" customFormat="1"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Q143" s="46"/>
      <c r="R143" s="38"/>
      <c r="S143" s="8"/>
      <c r="T143" s="8"/>
      <c r="U143" s="8"/>
      <c r="V143" s="8"/>
      <c r="W143" s="8"/>
      <c r="X143" s="8"/>
      <c r="Y143" s="8"/>
      <c r="Z143" s="8"/>
      <c r="AA143" s="8"/>
    </row>
    <row r="144" spans="1:27" s="26" customFormat="1"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Q144" s="46"/>
      <c r="R144" s="38"/>
      <c r="S144" s="8"/>
      <c r="T144" s="8"/>
      <c r="U144" s="8"/>
      <c r="V144" s="8"/>
      <c r="W144" s="8"/>
      <c r="X144" s="8"/>
      <c r="Y144" s="8"/>
      <c r="Z144" s="8"/>
      <c r="AA144" s="8"/>
    </row>
    <row r="145" spans="1:27" s="26" customFormat="1"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Q145" s="46"/>
      <c r="R145" s="38"/>
      <c r="S145" s="8"/>
      <c r="T145" s="8"/>
      <c r="U145" s="8"/>
      <c r="V145" s="8"/>
      <c r="W145" s="8"/>
      <c r="X145" s="8"/>
      <c r="Y145" s="8"/>
      <c r="Z145" s="8"/>
      <c r="AA145" s="8"/>
    </row>
    <row r="146" spans="1:27" s="26" customFormat="1"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Q146" s="46"/>
      <c r="R146" s="38"/>
      <c r="S146" s="8"/>
      <c r="T146" s="8"/>
      <c r="U146" s="8"/>
      <c r="V146" s="8"/>
      <c r="W146" s="8"/>
      <c r="X146" s="8"/>
      <c r="Y146" s="8"/>
      <c r="Z146" s="8"/>
      <c r="AA146" s="8"/>
    </row>
    <row r="147" spans="1:27" s="26" customFormat="1"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Q147" s="46"/>
      <c r="R147" s="38"/>
      <c r="S147" s="8"/>
      <c r="T147" s="8"/>
      <c r="U147" s="8"/>
      <c r="V147" s="8"/>
      <c r="W147" s="8"/>
      <c r="X147" s="8"/>
      <c r="Y147" s="8"/>
      <c r="Z147" s="8"/>
      <c r="AA147" s="8"/>
    </row>
    <row r="148" spans="1:27" s="26" customFormat="1"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Q148" s="46"/>
      <c r="R148" s="38"/>
      <c r="S148" s="8"/>
      <c r="T148" s="8"/>
      <c r="U148" s="8"/>
      <c r="V148" s="8"/>
      <c r="W148" s="8"/>
      <c r="X148" s="8"/>
      <c r="Y148" s="8"/>
      <c r="Z148" s="8"/>
      <c r="AA148" s="8"/>
    </row>
    <row r="149" spans="1:27" s="26" customFormat="1"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Q149" s="46"/>
      <c r="R149" s="38"/>
      <c r="S149" s="8"/>
      <c r="T149" s="8"/>
      <c r="U149" s="8"/>
      <c r="V149" s="8"/>
      <c r="W149" s="8"/>
      <c r="X149" s="8"/>
      <c r="Y149" s="8"/>
      <c r="Z149" s="8"/>
      <c r="AA149" s="8"/>
    </row>
    <row r="150" spans="1:27" s="26" customFormat="1"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Q150" s="46"/>
      <c r="R150" s="38"/>
      <c r="S150" s="8"/>
      <c r="T150" s="8"/>
      <c r="U150" s="8"/>
      <c r="V150" s="8"/>
      <c r="W150" s="8"/>
      <c r="X150" s="8"/>
      <c r="Y150" s="8"/>
      <c r="Z150" s="8"/>
      <c r="AA150" s="8"/>
    </row>
    <row r="151" spans="1:27" s="26" customFormat="1"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Q151" s="46"/>
      <c r="R151" s="38"/>
      <c r="S151" s="8"/>
      <c r="T151" s="8"/>
      <c r="U151" s="8"/>
      <c r="V151" s="8"/>
      <c r="W151" s="8"/>
      <c r="X151" s="8"/>
      <c r="Y151" s="8"/>
      <c r="Z151" s="8"/>
      <c r="AA151" s="8"/>
    </row>
    <row r="152" spans="1:27" s="26" customFormat="1" ht="28.5" customHeight="1">
      <c r="A152" s="8" t="s">
        <v>53</v>
      </c>
      <c r="B152" s="29" t="s">
        <v>336</v>
      </c>
      <c r="C152" s="8" t="s">
        <v>429</v>
      </c>
      <c r="D152" s="8" t="s">
        <v>470</v>
      </c>
      <c r="E152" s="8" t="s">
        <v>471</v>
      </c>
      <c r="F152" s="8"/>
      <c r="G152" s="8" t="s">
        <v>71</v>
      </c>
      <c r="H152" s="8" t="s">
        <v>472</v>
      </c>
      <c r="I152" s="8">
        <v>1</v>
      </c>
      <c r="J152" s="8"/>
      <c r="K152" s="8"/>
      <c r="L152" s="8"/>
      <c r="M152" s="8"/>
      <c r="N152" s="8"/>
      <c r="O152" s="8"/>
      <c r="P152" s="60"/>
      <c r="Q152" s="46"/>
      <c r="R152" s="38" t="s">
        <v>1481</v>
      </c>
      <c r="S152" s="8" t="s">
        <v>1355</v>
      </c>
      <c r="T152" s="8" t="s">
        <v>1482</v>
      </c>
      <c r="U152" s="8" t="s">
        <v>1363</v>
      </c>
      <c r="V152" s="8" t="s">
        <v>1191</v>
      </c>
      <c r="W152" s="8">
        <v>2023</v>
      </c>
      <c r="X152" s="8" t="s">
        <v>9</v>
      </c>
      <c r="Y152" s="8" t="s">
        <v>1479</v>
      </c>
      <c r="Z152" s="503">
        <v>20000</v>
      </c>
      <c r="AA152" s="8" t="s">
        <v>1483</v>
      </c>
    </row>
    <row r="153" spans="1:27" s="26" customFormat="1" ht="28.5" hidden="1" customHeight="1">
      <c r="A153" s="8" t="s">
        <v>53</v>
      </c>
      <c r="B153" s="29" t="s">
        <v>336</v>
      </c>
      <c r="C153" s="8" t="s">
        <v>473</v>
      </c>
      <c r="D153" s="8" t="s">
        <v>474</v>
      </c>
      <c r="E153" s="8" t="s">
        <v>475</v>
      </c>
      <c r="F153" s="8"/>
      <c r="G153" s="8" t="s">
        <v>62</v>
      </c>
      <c r="H153" s="8" t="s">
        <v>476</v>
      </c>
      <c r="I153" s="8" t="s">
        <v>210</v>
      </c>
      <c r="J153" s="8"/>
      <c r="K153" s="8"/>
      <c r="L153" s="8"/>
      <c r="M153" s="8"/>
      <c r="N153" s="8"/>
      <c r="O153" s="8"/>
      <c r="P153" s="60"/>
      <c r="Q153" s="46"/>
      <c r="R153" s="38"/>
      <c r="S153" s="8"/>
      <c r="T153" s="8"/>
      <c r="U153" s="8"/>
      <c r="V153" s="8"/>
      <c r="W153" s="8"/>
      <c r="X153" s="8"/>
      <c r="Y153" s="8"/>
      <c r="Z153" s="503"/>
      <c r="AA153" s="8"/>
    </row>
    <row r="154" spans="1:27" s="26" customFormat="1" ht="28.5" hidden="1" customHeight="1">
      <c r="A154" s="8" t="s">
        <v>53</v>
      </c>
      <c r="B154" s="29" t="s">
        <v>336</v>
      </c>
      <c r="C154" s="8" t="s">
        <v>473</v>
      </c>
      <c r="D154" s="8" t="s">
        <v>477</v>
      </c>
      <c r="E154" s="8" t="s">
        <v>478</v>
      </c>
      <c r="F154" s="8"/>
      <c r="G154" s="8" t="s">
        <v>62</v>
      </c>
      <c r="H154" s="8" t="s">
        <v>479</v>
      </c>
      <c r="I154" s="8" t="s">
        <v>210</v>
      </c>
      <c r="J154" s="8"/>
      <c r="K154" s="8"/>
      <c r="L154" s="8"/>
      <c r="M154" s="8"/>
      <c r="N154" s="8"/>
      <c r="O154" s="8"/>
      <c r="P154" s="60"/>
      <c r="Q154" s="46"/>
      <c r="R154" s="38"/>
      <c r="S154" s="8"/>
      <c r="T154" s="8"/>
      <c r="U154" s="8"/>
      <c r="V154" s="8"/>
      <c r="W154" s="8"/>
      <c r="X154" s="8"/>
      <c r="Y154" s="8"/>
      <c r="Z154" s="503"/>
      <c r="AA154" s="8"/>
    </row>
    <row r="155" spans="1:27" s="26" customFormat="1" ht="28.5" hidden="1" customHeight="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509"/>
      <c r="AA155" s="140"/>
    </row>
    <row r="156" spans="1:27" s="26" customFormat="1" ht="28.5" hidden="1" customHeight="1">
      <c r="A156" s="8" t="s">
        <v>16</v>
      </c>
      <c r="B156" s="29" t="s">
        <v>54</v>
      </c>
      <c r="C156" s="8" t="s">
        <v>481</v>
      </c>
      <c r="D156" s="8" t="s">
        <v>482</v>
      </c>
      <c r="E156" s="8" t="s">
        <v>483</v>
      </c>
      <c r="F156" s="8"/>
      <c r="G156" s="8" t="s">
        <v>62</v>
      </c>
      <c r="H156" s="8" t="s">
        <v>484</v>
      </c>
      <c r="I156" s="8" t="s">
        <v>485</v>
      </c>
      <c r="J156" s="8"/>
      <c r="K156" s="8"/>
      <c r="L156" s="8"/>
      <c r="M156" s="8"/>
      <c r="N156" s="8"/>
      <c r="O156" s="8"/>
      <c r="P156" s="60"/>
      <c r="Q156" s="46"/>
      <c r="R156" s="38"/>
      <c r="S156" s="8"/>
      <c r="T156" s="8"/>
      <c r="U156" s="8"/>
      <c r="V156" s="8"/>
      <c r="W156" s="8"/>
      <c r="X156" s="8"/>
      <c r="Y156" s="8"/>
      <c r="Z156" s="503"/>
      <c r="AA156" s="8"/>
    </row>
    <row r="157" spans="1:27" s="26" customFormat="1" ht="28.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Q157" s="46"/>
      <c r="R157" s="39"/>
      <c r="S157" s="20"/>
      <c r="T157" s="20"/>
      <c r="U157" s="20"/>
      <c r="V157" s="20"/>
      <c r="W157" s="20"/>
      <c r="X157" s="20"/>
      <c r="Y157" s="20"/>
      <c r="Z157" s="504"/>
      <c r="AA157" s="20"/>
    </row>
    <row r="158" spans="1:27" s="26" customFormat="1" ht="28.5" customHeight="1">
      <c r="A158" s="8" t="s">
        <v>16</v>
      </c>
      <c r="B158" s="29" t="s">
        <v>54</v>
      </c>
      <c r="C158" s="8" t="s">
        <v>486</v>
      </c>
      <c r="D158" s="8" t="s">
        <v>491</v>
      </c>
      <c r="E158" s="69" t="s">
        <v>492</v>
      </c>
      <c r="F158" s="8"/>
      <c r="G158" s="8" t="s">
        <v>62</v>
      </c>
      <c r="H158" s="8" t="s">
        <v>493</v>
      </c>
      <c r="I158" s="8" t="s">
        <v>494</v>
      </c>
      <c r="J158" s="8"/>
      <c r="K158" s="8"/>
      <c r="L158" s="8"/>
      <c r="M158" s="8"/>
      <c r="N158" s="8"/>
      <c r="O158" s="8"/>
      <c r="P158" s="60"/>
      <c r="Q158" s="46"/>
      <c r="R158" s="38" t="s">
        <v>1484</v>
      </c>
      <c r="S158" s="8" t="s">
        <v>1485</v>
      </c>
      <c r="T158" s="8" t="s">
        <v>1486</v>
      </c>
      <c r="U158" s="8" t="s">
        <v>1369</v>
      </c>
      <c r="V158" s="8" t="s">
        <v>8</v>
      </c>
      <c r="W158" s="8">
        <v>2025</v>
      </c>
      <c r="X158" s="8" t="s">
        <v>10</v>
      </c>
      <c r="Y158" s="8"/>
      <c r="Z158" s="503">
        <v>0</v>
      </c>
      <c r="AA158" s="8" t="s">
        <v>1487</v>
      </c>
    </row>
    <row r="159" spans="1:27" s="26" customFormat="1" ht="28.5" customHeight="1">
      <c r="A159" s="8" t="s">
        <v>16</v>
      </c>
      <c r="B159" s="29" t="s">
        <v>54</v>
      </c>
      <c r="C159" s="8" t="s">
        <v>486</v>
      </c>
      <c r="D159" s="8" t="s">
        <v>495</v>
      </c>
      <c r="E159" s="69" t="s">
        <v>496</v>
      </c>
      <c r="F159" s="8"/>
      <c r="G159" s="8" t="s">
        <v>62</v>
      </c>
      <c r="H159" s="8" t="s">
        <v>493</v>
      </c>
      <c r="I159" s="8" t="s">
        <v>494</v>
      </c>
      <c r="J159" s="8"/>
      <c r="K159" s="8"/>
      <c r="L159" s="8"/>
      <c r="M159" s="8"/>
      <c r="N159" s="8"/>
      <c r="O159" s="8"/>
      <c r="P159" s="60"/>
      <c r="Q159" s="46"/>
      <c r="R159" s="38" t="s">
        <v>1484</v>
      </c>
      <c r="S159" s="8" t="s">
        <v>1485</v>
      </c>
      <c r="T159" s="8" t="s">
        <v>1486</v>
      </c>
      <c r="U159" s="8" t="s">
        <v>1369</v>
      </c>
      <c r="V159" s="8" t="s">
        <v>8</v>
      </c>
      <c r="W159" s="8">
        <v>2025</v>
      </c>
      <c r="X159" s="8" t="s">
        <v>10</v>
      </c>
      <c r="Y159" s="8"/>
      <c r="Z159" s="503">
        <v>0</v>
      </c>
      <c r="AA159" s="8" t="s">
        <v>1487</v>
      </c>
    </row>
    <row r="160" spans="1:27" s="26" customFormat="1" ht="28.5" customHeight="1">
      <c r="A160" s="8" t="s">
        <v>16</v>
      </c>
      <c r="B160" s="29" t="s">
        <v>54</v>
      </c>
      <c r="C160" s="8" t="s">
        <v>486</v>
      </c>
      <c r="D160" s="8" t="s">
        <v>497</v>
      </c>
      <c r="E160" s="69" t="s">
        <v>498</v>
      </c>
      <c r="F160" s="8"/>
      <c r="G160" s="8" t="s">
        <v>62</v>
      </c>
      <c r="H160" s="8" t="s">
        <v>493</v>
      </c>
      <c r="I160" s="8" t="s">
        <v>494</v>
      </c>
      <c r="J160" s="8"/>
      <c r="K160" s="8"/>
      <c r="L160" s="8"/>
      <c r="M160" s="8"/>
      <c r="N160" s="8"/>
      <c r="O160" s="8"/>
      <c r="P160" s="60"/>
      <c r="Q160" s="46"/>
      <c r="R160" s="38" t="s">
        <v>1488</v>
      </c>
      <c r="S160" s="38" t="s">
        <v>1488</v>
      </c>
      <c r="T160" s="38" t="s">
        <v>1488</v>
      </c>
      <c r="U160" s="38" t="s">
        <v>1488</v>
      </c>
      <c r="V160" s="38" t="s">
        <v>1488</v>
      </c>
      <c r="W160" s="38" t="s">
        <v>1488</v>
      </c>
      <c r="X160" s="38" t="s">
        <v>1488</v>
      </c>
      <c r="Y160" s="38" t="s">
        <v>1488</v>
      </c>
      <c r="Z160" s="510" t="s">
        <v>1488</v>
      </c>
      <c r="AA160" s="38" t="s">
        <v>1488</v>
      </c>
    </row>
    <row r="161" spans="1:27" s="26" customFormat="1" ht="28.5" customHeight="1">
      <c r="A161" s="8" t="s">
        <v>16</v>
      </c>
      <c r="B161" s="29" t="s">
        <v>54</v>
      </c>
      <c r="C161" s="8" t="s">
        <v>486</v>
      </c>
      <c r="D161" s="8" t="s">
        <v>499</v>
      </c>
      <c r="E161" s="69" t="s">
        <v>500</v>
      </c>
      <c r="F161" s="8"/>
      <c r="G161" s="8" t="s">
        <v>62</v>
      </c>
      <c r="H161" s="8" t="s">
        <v>493</v>
      </c>
      <c r="I161" s="8" t="s">
        <v>494</v>
      </c>
      <c r="J161" s="8"/>
      <c r="K161" s="8"/>
      <c r="L161" s="8"/>
      <c r="M161" s="8"/>
      <c r="N161" s="8"/>
      <c r="O161" s="8"/>
      <c r="P161" s="60"/>
      <c r="Q161" s="46"/>
      <c r="R161" s="38" t="s">
        <v>1484</v>
      </c>
      <c r="S161" s="8" t="s">
        <v>1485</v>
      </c>
      <c r="T161" s="8" t="s">
        <v>1486</v>
      </c>
      <c r="U161" s="8" t="s">
        <v>1369</v>
      </c>
      <c r="V161" s="8" t="s">
        <v>8</v>
      </c>
      <c r="W161" s="8">
        <v>2025</v>
      </c>
      <c r="X161" s="8" t="s">
        <v>10</v>
      </c>
      <c r="Y161" s="8"/>
      <c r="Z161" s="503">
        <v>0</v>
      </c>
      <c r="AA161" s="8" t="s">
        <v>1487</v>
      </c>
    </row>
    <row r="162" spans="1:27" s="26" customFormat="1" ht="28.5" customHeight="1">
      <c r="A162" s="8" t="s">
        <v>16</v>
      </c>
      <c r="B162" s="29" t="s">
        <v>54</v>
      </c>
      <c r="C162" s="8" t="s">
        <v>486</v>
      </c>
      <c r="D162" s="8" t="s">
        <v>501</v>
      </c>
      <c r="E162" s="69" t="s">
        <v>502</v>
      </c>
      <c r="F162" s="8"/>
      <c r="G162" s="8" t="s">
        <v>62</v>
      </c>
      <c r="H162" s="8" t="s">
        <v>493</v>
      </c>
      <c r="I162" s="8" t="s">
        <v>494</v>
      </c>
      <c r="J162" s="8"/>
      <c r="K162" s="8"/>
      <c r="L162" s="8"/>
      <c r="M162" s="8"/>
      <c r="N162" s="8"/>
      <c r="O162" s="8"/>
      <c r="P162" s="60"/>
      <c r="Q162" s="46"/>
      <c r="R162" s="38" t="s">
        <v>1484</v>
      </c>
      <c r="S162" s="8" t="s">
        <v>1485</v>
      </c>
      <c r="T162" s="8" t="s">
        <v>1486</v>
      </c>
      <c r="U162" s="8" t="s">
        <v>1369</v>
      </c>
      <c r="V162" s="8" t="s">
        <v>8</v>
      </c>
      <c r="W162" s="8">
        <v>2025</v>
      </c>
      <c r="X162" s="8" t="s">
        <v>10</v>
      </c>
      <c r="Y162" s="8"/>
      <c r="Z162" s="503">
        <v>0</v>
      </c>
      <c r="AA162" s="8" t="s">
        <v>1487</v>
      </c>
    </row>
    <row r="163" spans="1:27" s="26" customFormat="1" ht="28.5" customHeight="1">
      <c r="A163" s="8" t="s">
        <v>16</v>
      </c>
      <c r="B163" s="29" t="s">
        <v>54</v>
      </c>
      <c r="C163" s="8" t="s">
        <v>486</v>
      </c>
      <c r="D163" s="8" t="s">
        <v>503</v>
      </c>
      <c r="E163" s="69" t="s">
        <v>504</v>
      </c>
      <c r="F163" s="8"/>
      <c r="G163" s="8" t="s">
        <v>62</v>
      </c>
      <c r="H163" s="8" t="s">
        <v>493</v>
      </c>
      <c r="I163" s="8" t="s">
        <v>494</v>
      </c>
      <c r="J163" s="8"/>
      <c r="K163" s="8"/>
      <c r="L163" s="8"/>
      <c r="M163" s="8"/>
      <c r="N163" s="8"/>
      <c r="O163" s="8"/>
      <c r="P163" s="60"/>
      <c r="Q163" s="46"/>
      <c r="R163" s="38" t="s">
        <v>1484</v>
      </c>
      <c r="S163" s="8" t="s">
        <v>1485</v>
      </c>
      <c r="T163" s="8" t="s">
        <v>1486</v>
      </c>
      <c r="U163" s="8" t="s">
        <v>1369</v>
      </c>
      <c r="V163" s="8" t="s">
        <v>8</v>
      </c>
      <c r="W163" s="8">
        <v>2025</v>
      </c>
      <c r="X163" s="8" t="s">
        <v>10</v>
      </c>
      <c r="Y163" s="8"/>
      <c r="Z163" s="503">
        <v>0</v>
      </c>
      <c r="AA163" s="8" t="s">
        <v>1487</v>
      </c>
    </row>
    <row r="164" spans="1:27" s="26" customFormat="1" ht="28.5" customHeight="1">
      <c r="A164" s="8" t="s">
        <v>16</v>
      </c>
      <c r="B164" s="29" t="s">
        <v>54</v>
      </c>
      <c r="C164" s="8" t="s">
        <v>486</v>
      </c>
      <c r="D164" s="8" t="s">
        <v>505</v>
      </c>
      <c r="E164" s="69" t="s">
        <v>506</v>
      </c>
      <c r="F164" s="8"/>
      <c r="G164" s="8" t="s">
        <v>62</v>
      </c>
      <c r="H164" s="8" t="s">
        <v>493</v>
      </c>
      <c r="I164" s="8" t="s">
        <v>494</v>
      </c>
      <c r="J164" s="8"/>
      <c r="K164" s="8"/>
      <c r="L164" s="8"/>
      <c r="M164" s="8"/>
      <c r="N164" s="8"/>
      <c r="O164" s="8"/>
      <c r="P164" s="60"/>
      <c r="Q164" s="46"/>
      <c r="R164" s="38" t="s">
        <v>1484</v>
      </c>
      <c r="S164" s="8" t="s">
        <v>1485</v>
      </c>
      <c r="T164" s="8" t="s">
        <v>1486</v>
      </c>
      <c r="U164" s="8" t="s">
        <v>1369</v>
      </c>
      <c r="V164" s="8" t="s">
        <v>8</v>
      </c>
      <c r="W164" s="8">
        <v>2025</v>
      </c>
      <c r="X164" s="8" t="s">
        <v>10</v>
      </c>
      <c r="Y164" s="8"/>
      <c r="Z164" s="503">
        <v>0</v>
      </c>
      <c r="AA164" s="8" t="s">
        <v>1487</v>
      </c>
    </row>
    <row r="165" spans="1:27" s="26" customFormat="1" ht="28.5" customHeight="1">
      <c r="A165" s="8" t="s">
        <v>16</v>
      </c>
      <c r="B165" s="29" t="s">
        <v>54</v>
      </c>
      <c r="C165" s="8" t="s">
        <v>486</v>
      </c>
      <c r="D165" s="8" t="s">
        <v>507</v>
      </c>
      <c r="E165" s="69" t="s">
        <v>508</v>
      </c>
      <c r="F165" s="8"/>
      <c r="G165" s="8" t="s">
        <v>62</v>
      </c>
      <c r="H165" s="8" t="s">
        <v>493</v>
      </c>
      <c r="I165" s="8" t="s">
        <v>494</v>
      </c>
      <c r="J165" s="8"/>
      <c r="K165" s="8"/>
      <c r="L165" s="8"/>
      <c r="M165" s="8"/>
      <c r="N165" s="8"/>
      <c r="O165" s="8"/>
      <c r="P165" s="60"/>
      <c r="Q165" s="46"/>
      <c r="R165" s="38" t="s">
        <v>1484</v>
      </c>
      <c r="S165" s="8" t="s">
        <v>1485</v>
      </c>
      <c r="T165" s="8" t="s">
        <v>1486</v>
      </c>
      <c r="U165" s="8" t="s">
        <v>1369</v>
      </c>
      <c r="V165" s="8" t="s">
        <v>8</v>
      </c>
      <c r="W165" s="8">
        <v>2025</v>
      </c>
      <c r="X165" s="8" t="s">
        <v>10</v>
      </c>
      <c r="Y165" s="8"/>
      <c r="Z165" s="503">
        <v>0</v>
      </c>
      <c r="AA165" s="8" t="s">
        <v>1487</v>
      </c>
    </row>
    <row r="166" spans="1:27" s="26" customFormat="1" ht="28.5" customHeight="1">
      <c r="A166" s="8" t="s">
        <v>16</v>
      </c>
      <c r="B166" s="29" t="s">
        <v>54</v>
      </c>
      <c r="C166" s="8" t="s">
        <v>486</v>
      </c>
      <c r="D166" s="8" t="s">
        <v>509</v>
      </c>
      <c r="E166" s="69" t="s">
        <v>510</v>
      </c>
      <c r="F166" s="8"/>
      <c r="G166" s="8" t="s">
        <v>62</v>
      </c>
      <c r="H166" s="8" t="s">
        <v>493</v>
      </c>
      <c r="I166" s="8" t="s">
        <v>494</v>
      </c>
      <c r="J166" s="8"/>
      <c r="K166" s="8"/>
      <c r="L166" s="8"/>
      <c r="M166" s="8"/>
      <c r="N166" s="8"/>
      <c r="O166" s="8"/>
      <c r="P166" s="60"/>
      <c r="Q166" s="46"/>
      <c r="R166" s="38" t="s">
        <v>1484</v>
      </c>
      <c r="S166" s="8" t="s">
        <v>1485</v>
      </c>
      <c r="T166" s="8" t="s">
        <v>1486</v>
      </c>
      <c r="U166" s="8" t="s">
        <v>1369</v>
      </c>
      <c r="V166" s="8" t="s">
        <v>8</v>
      </c>
      <c r="W166" s="8">
        <v>2025</v>
      </c>
      <c r="X166" s="8" t="s">
        <v>10</v>
      </c>
      <c r="Y166" s="8"/>
      <c r="Z166" s="503">
        <v>0</v>
      </c>
      <c r="AA166" s="8" t="s">
        <v>1487</v>
      </c>
    </row>
    <row r="167" spans="1:27" s="26" customFormat="1" ht="28.5" hidden="1" customHeight="1">
      <c r="A167" s="8" t="s">
        <v>16</v>
      </c>
      <c r="B167" s="29" t="s">
        <v>54</v>
      </c>
      <c r="C167" s="8" t="s">
        <v>486</v>
      </c>
      <c r="D167" s="8" t="s">
        <v>511</v>
      </c>
      <c r="E167" s="69" t="s">
        <v>512</v>
      </c>
      <c r="F167" s="8"/>
      <c r="G167" s="8" t="s">
        <v>62</v>
      </c>
      <c r="H167" s="8" t="s">
        <v>493</v>
      </c>
      <c r="I167" s="8" t="s">
        <v>494</v>
      </c>
      <c r="J167" s="8"/>
      <c r="K167" s="8"/>
      <c r="L167" s="8"/>
      <c r="M167" s="8"/>
      <c r="N167" s="8"/>
      <c r="O167" s="8"/>
      <c r="P167" s="60"/>
      <c r="Q167" s="46"/>
      <c r="R167" s="38"/>
      <c r="S167" s="8"/>
      <c r="T167" s="8"/>
      <c r="U167" s="8"/>
      <c r="V167" s="8"/>
      <c r="W167" s="8"/>
      <c r="X167" s="8"/>
      <c r="Y167" s="8"/>
      <c r="Z167" s="503"/>
      <c r="AA167" s="8"/>
    </row>
    <row r="168" spans="1:27" s="26" customFormat="1" ht="28.5" hidden="1" customHeight="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Q168" s="46"/>
      <c r="R168" s="83"/>
      <c r="S168" s="78"/>
      <c r="T168" s="78"/>
      <c r="U168" s="78"/>
      <c r="V168" s="78"/>
      <c r="W168" s="78"/>
      <c r="X168" s="78"/>
      <c r="Y168" s="78"/>
      <c r="Z168" s="511"/>
      <c r="AA168" s="78"/>
    </row>
    <row r="169" spans="1:27" s="26" customFormat="1" ht="28.5" hidden="1" customHeight="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R169" s="76"/>
      <c r="S169" s="76"/>
      <c r="T169" s="76"/>
      <c r="U169" s="76"/>
      <c r="V169" s="76"/>
      <c r="W169" s="76"/>
      <c r="X169" s="76"/>
      <c r="Y169" s="76"/>
      <c r="Z169" s="512"/>
      <c r="AA169" s="76"/>
    </row>
    <row r="170" spans="1:27" s="26" customFormat="1" ht="28.5" customHeight="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38" t="s">
        <v>1489</v>
      </c>
      <c r="S170" s="8" t="s">
        <v>1485</v>
      </c>
      <c r="T170" s="8" t="s">
        <v>1490</v>
      </c>
      <c r="U170" s="8" t="s">
        <v>1369</v>
      </c>
      <c r="V170" s="8" t="s">
        <v>8</v>
      </c>
      <c r="W170" s="8">
        <v>2025</v>
      </c>
      <c r="X170" s="8" t="s">
        <v>10</v>
      </c>
      <c r="Y170" s="8" t="s">
        <v>1491</v>
      </c>
      <c r="Z170" s="503" t="s">
        <v>1314</v>
      </c>
      <c r="AA170" s="8" t="s">
        <v>1487</v>
      </c>
    </row>
    <row r="171" spans="1:27" s="26" customFormat="1" ht="28.5" hidden="1" customHeight="1">
      <c r="A171" s="84" t="s">
        <v>16</v>
      </c>
      <c r="B171" s="85" t="s">
        <v>54</v>
      </c>
      <c r="C171" s="84" t="s">
        <v>486</v>
      </c>
      <c r="D171" s="84" t="s">
        <v>520</v>
      </c>
      <c r="E171" s="84" t="s">
        <v>521</v>
      </c>
      <c r="F171" s="84"/>
      <c r="G171" s="84" t="s">
        <v>62</v>
      </c>
      <c r="H171" s="84" t="s">
        <v>522</v>
      </c>
      <c r="I171" s="86">
        <v>1</v>
      </c>
      <c r="J171" s="84"/>
      <c r="K171" s="84"/>
      <c r="L171" s="84"/>
      <c r="M171" s="84"/>
      <c r="N171" s="84"/>
      <c r="O171" s="84"/>
      <c r="P171" s="87"/>
      <c r="Q171" s="46"/>
      <c r="R171" s="38"/>
      <c r="S171" s="8"/>
      <c r="T171" s="8"/>
      <c r="U171" s="8"/>
      <c r="V171" s="8"/>
      <c r="W171" s="8"/>
      <c r="X171" s="8"/>
      <c r="Y171" s="8"/>
      <c r="Z171" s="503"/>
      <c r="AA171" s="8"/>
    </row>
    <row r="172" spans="1:27" s="26" customFormat="1" ht="28.5" customHeight="1">
      <c r="A172" s="8" t="s">
        <v>16</v>
      </c>
      <c r="B172" s="29" t="s">
        <v>54</v>
      </c>
      <c r="C172" s="8" t="s">
        <v>486</v>
      </c>
      <c r="D172" s="8" t="s">
        <v>523</v>
      </c>
      <c r="E172" s="8" t="s">
        <v>524</v>
      </c>
      <c r="F172" s="8"/>
      <c r="G172" s="8" t="s">
        <v>62</v>
      </c>
      <c r="H172" s="8" t="s">
        <v>525</v>
      </c>
      <c r="I172" s="8" t="s">
        <v>526</v>
      </c>
      <c r="J172" s="8"/>
      <c r="K172" s="8"/>
      <c r="L172" s="8"/>
      <c r="M172" s="8"/>
      <c r="N172" s="8"/>
      <c r="O172" s="8"/>
      <c r="P172" s="60"/>
      <c r="Q172" s="46"/>
      <c r="R172" s="38" t="s">
        <v>1492</v>
      </c>
      <c r="S172" s="8" t="s">
        <v>1493</v>
      </c>
      <c r="T172" s="8"/>
      <c r="U172" s="8" t="s">
        <v>1369</v>
      </c>
      <c r="V172" s="8" t="s">
        <v>1191</v>
      </c>
      <c r="W172" s="8">
        <v>2022</v>
      </c>
      <c r="X172" s="8"/>
      <c r="Y172" s="8" t="s">
        <v>1494</v>
      </c>
      <c r="Z172" s="503">
        <v>4350000</v>
      </c>
      <c r="AA172" s="8"/>
    </row>
    <row r="173" spans="1:27" s="26" customFormat="1" ht="28.5" hidden="1" customHeight="1">
      <c r="A173" s="8" t="s">
        <v>16</v>
      </c>
      <c r="B173" s="29" t="s">
        <v>54</v>
      </c>
      <c r="C173" s="8" t="s">
        <v>527</v>
      </c>
      <c r="D173" s="8" t="s">
        <v>528</v>
      </c>
      <c r="E173" s="8" t="s">
        <v>529</v>
      </c>
      <c r="F173" s="8"/>
      <c r="G173" s="8" t="s">
        <v>62</v>
      </c>
      <c r="H173" s="8" t="s">
        <v>530</v>
      </c>
      <c r="I173" s="8" t="s">
        <v>135</v>
      </c>
      <c r="J173" s="8"/>
      <c r="K173" s="8"/>
      <c r="L173" s="8"/>
      <c r="M173" s="8"/>
      <c r="N173" s="8"/>
      <c r="O173" s="8"/>
      <c r="P173" s="60"/>
      <c r="Q173" s="46"/>
      <c r="R173" s="38"/>
      <c r="S173" s="8"/>
      <c r="T173" s="8"/>
      <c r="U173" s="8"/>
      <c r="V173" s="8"/>
      <c r="W173" s="8"/>
      <c r="X173" s="8"/>
      <c r="Y173" s="8"/>
      <c r="Z173" s="503"/>
      <c r="AA173" s="8"/>
    </row>
    <row r="174" spans="1:27" s="26" customFormat="1" ht="28.5" hidden="1" customHeight="1">
      <c r="A174" s="8" t="s">
        <v>16</v>
      </c>
      <c r="B174" s="29" t="s">
        <v>195</v>
      </c>
      <c r="C174" s="8" t="s">
        <v>531</v>
      </c>
      <c r="D174" s="8" t="s">
        <v>532</v>
      </c>
      <c r="E174" s="8" t="s">
        <v>533</v>
      </c>
      <c r="F174" s="8"/>
      <c r="G174" s="8" t="s">
        <v>62</v>
      </c>
      <c r="H174" s="8" t="s">
        <v>534</v>
      </c>
      <c r="I174" s="9">
        <v>1</v>
      </c>
      <c r="J174" s="8"/>
      <c r="K174" s="8"/>
      <c r="L174" s="8"/>
      <c r="M174" s="8"/>
      <c r="N174" s="8"/>
      <c r="O174" s="8"/>
      <c r="P174" s="60"/>
      <c r="Q174" s="46"/>
      <c r="R174" s="38"/>
      <c r="S174" s="8"/>
      <c r="T174" s="8"/>
      <c r="U174" s="8"/>
      <c r="V174" s="8"/>
      <c r="W174" s="8"/>
      <c r="X174" s="8"/>
      <c r="Y174" s="8"/>
      <c r="Z174" s="503"/>
      <c r="AA174" s="8"/>
    </row>
    <row r="175" spans="1:27" s="26" customFormat="1" ht="28.5" customHeight="1">
      <c r="A175" s="8" t="s">
        <v>16</v>
      </c>
      <c r="B175" s="29" t="s">
        <v>195</v>
      </c>
      <c r="C175" s="8" t="s">
        <v>531</v>
      </c>
      <c r="D175" s="8" t="s">
        <v>535</v>
      </c>
      <c r="E175" s="8" t="s">
        <v>536</v>
      </c>
      <c r="F175" s="8"/>
      <c r="G175" s="8" t="s">
        <v>62</v>
      </c>
      <c r="H175" s="8" t="s">
        <v>537</v>
      </c>
      <c r="I175" s="8" t="s">
        <v>538</v>
      </c>
      <c r="J175" s="8"/>
      <c r="K175" s="8"/>
      <c r="L175" s="8"/>
      <c r="M175" s="8"/>
      <c r="N175" s="8"/>
      <c r="O175" s="8"/>
      <c r="P175" s="60"/>
      <c r="Q175" s="46"/>
      <c r="R175" s="38" t="s">
        <v>1439</v>
      </c>
      <c r="S175" s="8" t="s">
        <v>1440</v>
      </c>
      <c r="T175" s="8" t="s">
        <v>1441</v>
      </c>
      <c r="U175" s="8" t="s">
        <v>1357</v>
      </c>
      <c r="V175" s="8" t="s">
        <v>1191</v>
      </c>
      <c r="W175" s="8">
        <v>2027</v>
      </c>
      <c r="X175" s="8" t="s">
        <v>11</v>
      </c>
      <c r="Y175" s="8" t="s">
        <v>1442</v>
      </c>
      <c r="Z175" s="503">
        <v>0</v>
      </c>
      <c r="AA175" s="8" t="s">
        <v>1459</v>
      </c>
    </row>
    <row r="176" spans="1:27" s="26" customFormat="1" ht="28.5" customHeight="1">
      <c r="A176" s="8" t="s">
        <v>16</v>
      </c>
      <c r="B176" s="29" t="s">
        <v>195</v>
      </c>
      <c r="C176" s="8" t="s">
        <v>539</v>
      </c>
      <c r="D176" s="8" t="s">
        <v>540</v>
      </c>
      <c r="E176" s="8" t="s">
        <v>541</v>
      </c>
      <c r="F176" s="8"/>
      <c r="G176" s="8" t="s">
        <v>62</v>
      </c>
      <c r="H176" s="8" t="s">
        <v>542</v>
      </c>
      <c r="I176" s="9">
        <v>1</v>
      </c>
      <c r="J176" s="8"/>
      <c r="K176" s="8"/>
      <c r="L176" s="8"/>
      <c r="M176" s="8"/>
      <c r="N176" s="8"/>
      <c r="O176" s="8"/>
      <c r="P176" s="60"/>
      <c r="Q176" s="46"/>
      <c r="R176" s="38" t="s">
        <v>1495</v>
      </c>
      <c r="S176" s="8" t="s">
        <v>1496</v>
      </c>
      <c r="T176" s="8" t="s">
        <v>1497</v>
      </c>
      <c r="U176" s="8" t="s">
        <v>1369</v>
      </c>
      <c r="V176" s="8" t="s">
        <v>8</v>
      </c>
      <c r="W176" s="8">
        <v>2025</v>
      </c>
      <c r="X176" s="8" t="s">
        <v>11</v>
      </c>
      <c r="Y176" s="8" t="s">
        <v>1498</v>
      </c>
      <c r="Z176" s="503"/>
      <c r="AA176" s="8" t="s">
        <v>1487</v>
      </c>
    </row>
    <row r="177" spans="1:51" ht="28.5" hidden="1" customHeight="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504"/>
      <c r="AA177" s="20"/>
    </row>
    <row r="178" spans="1:51" ht="28.5" hidden="1" customHeight="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503"/>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28.5" customHeight="1">
      <c r="A181" s="8" t="s">
        <v>16</v>
      </c>
      <c r="B181" s="29" t="s">
        <v>195</v>
      </c>
      <c r="C181" s="8" t="s">
        <v>543</v>
      </c>
      <c r="D181" s="8" t="s">
        <v>553</v>
      </c>
      <c r="E181" s="8" t="s">
        <v>554</v>
      </c>
      <c r="F181" s="8"/>
      <c r="G181" s="8" t="s">
        <v>62</v>
      </c>
      <c r="H181" s="8" t="s">
        <v>555</v>
      </c>
      <c r="I181" s="9">
        <v>1</v>
      </c>
      <c r="J181" s="8"/>
      <c r="K181" s="8"/>
      <c r="L181" s="8"/>
      <c r="M181" s="8"/>
      <c r="N181" s="8"/>
      <c r="O181" s="8"/>
      <c r="P181" s="60"/>
      <c r="R181" s="38" t="s">
        <v>1499</v>
      </c>
      <c r="S181" s="8" t="s">
        <v>1485</v>
      </c>
      <c r="T181" s="8" t="s">
        <v>1500</v>
      </c>
      <c r="U181" s="8" t="s">
        <v>1369</v>
      </c>
      <c r="V181" s="8" t="s">
        <v>8</v>
      </c>
      <c r="W181" s="8">
        <v>2025</v>
      </c>
      <c r="X181" s="8" t="s">
        <v>10</v>
      </c>
      <c r="Y181" s="8" t="s">
        <v>1501</v>
      </c>
      <c r="Z181" s="503">
        <v>0</v>
      </c>
      <c r="AA181" s="8" t="s">
        <v>1487</v>
      </c>
    </row>
    <row r="182" spans="1:51" ht="28.5" hidden="1" customHeight="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503"/>
      <c r="AA182" s="8"/>
    </row>
    <row r="183" spans="1:51" ht="28.5" hidden="1" customHeight="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503"/>
      <c r="AA183" s="8"/>
    </row>
    <row r="184" spans="1:51" ht="28.5" hidden="1" customHeight="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504"/>
      <c r="AA184" s="20"/>
    </row>
    <row r="185" spans="1:51" ht="28.5" customHeight="1">
      <c r="A185" s="8" t="s">
        <v>16</v>
      </c>
      <c r="B185" s="29" t="s">
        <v>274</v>
      </c>
      <c r="C185" s="8" t="s">
        <v>562</v>
      </c>
      <c r="D185" s="8" t="s">
        <v>565</v>
      </c>
      <c r="E185" s="69" t="s">
        <v>566</v>
      </c>
      <c r="F185" s="8"/>
      <c r="G185" s="8" t="s">
        <v>62</v>
      </c>
      <c r="H185" s="8" t="s">
        <v>567</v>
      </c>
      <c r="I185" s="9">
        <v>1</v>
      </c>
      <c r="J185" s="8"/>
      <c r="K185" s="8"/>
      <c r="L185" s="8"/>
      <c r="M185" s="8"/>
      <c r="N185" s="8"/>
      <c r="O185" s="8"/>
      <c r="P185" s="60"/>
      <c r="R185" s="38" t="s">
        <v>1502</v>
      </c>
      <c r="S185" s="8" t="s">
        <v>1503</v>
      </c>
      <c r="T185" s="8" t="s">
        <v>1504</v>
      </c>
      <c r="U185" s="8" t="s">
        <v>1357</v>
      </c>
      <c r="V185" s="8" t="s">
        <v>1191</v>
      </c>
      <c r="W185" s="8">
        <v>2023</v>
      </c>
      <c r="X185" s="8" t="s">
        <v>9</v>
      </c>
      <c r="Y185" s="8" t="s">
        <v>1505</v>
      </c>
      <c r="Z185" s="503">
        <v>0</v>
      </c>
      <c r="AA185" s="8" t="s">
        <v>1464</v>
      </c>
    </row>
    <row r="186" spans="1:51" ht="28.5" customHeight="1">
      <c r="A186" s="8" t="s">
        <v>16</v>
      </c>
      <c r="B186" s="29" t="s">
        <v>274</v>
      </c>
      <c r="C186" s="8" t="s">
        <v>562</v>
      </c>
      <c r="D186" s="8" t="s">
        <v>568</v>
      </c>
      <c r="E186" s="69" t="s">
        <v>569</v>
      </c>
      <c r="F186" s="8"/>
      <c r="G186" s="8" t="s">
        <v>62</v>
      </c>
      <c r="H186" s="8" t="s">
        <v>570</v>
      </c>
      <c r="I186" s="9">
        <v>1</v>
      </c>
      <c r="J186" s="8"/>
      <c r="K186" s="8"/>
      <c r="L186" s="8"/>
      <c r="M186" s="8"/>
      <c r="N186" s="8"/>
      <c r="O186" s="8"/>
      <c r="P186" s="60"/>
      <c r="R186" s="38" t="s">
        <v>1502</v>
      </c>
      <c r="S186" s="8" t="s">
        <v>1503</v>
      </c>
      <c r="T186" s="8" t="s">
        <v>1504</v>
      </c>
      <c r="U186" s="8" t="s">
        <v>1357</v>
      </c>
      <c r="V186" s="8" t="s">
        <v>1191</v>
      </c>
      <c r="W186" s="8">
        <v>2023</v>
      </c>
      <c r="X186" s="8" t="s">
        <v>9</v>
      </c>
      <c r="Y186" s="8" t="s">
        <v>1505</v>
      </c>
      <c r="Z186" s="503">
        <v>0</v>
      </c>
      <c r="AA186" s="8" t="s">
        <v>1464</v>
      </c>
    </row>
    <row r="187" spans="1:51" ht="28.5" customHeight="1">
      <c r="A187" s="8" t="s">
        <v>16</v>
      </c>
      <c r="B187" s="29" t="s">
        <v>274</v>
      </c>
      <c r="C187" s="8" t="s">
        <v>571</v>
      </c>
      <c r="D187" s="8" t="s">
        <v>572</v>
      </c>
      <c r="E187" s="8" t="s">
        <v>573</v>
      </c>
      <c r="F187" s="8"/>
      <c r="G187" s="8" t="s">
        <v>62</v>
      </c>
      <c r="H187" s="8" t="s">
        <v>574</v>
      </c>
      <c r="I187" s="9">
        <v>1</v>
      </c>
      <c r="J187" s="8"/>
      <c r="K187" s="8"/>
      <c r="L187" s="8"/>
      <c r="M187" s="8"/>
      <c r="N187" s="8"/>
      <c r="O187" s="8"/>
      <c r="P187" s="60"/>
      <c r="R187" s="38" t="s">
        <v>1499</v>
      </c>
      <c r="S187" s="8" t="s">
        <v>1485</v>
      </c>
      <c r="T187" s="8" t="s">
        <v>1500</v>
      </c>
      <c r="U187" s="8" t="s">
        <v>1369</v>
      </c>
      <c r="V187" s="8" t="s">
        <v>8</v>
      </c>
      <c r="W187" s="8">
        <v>2025</v>
      </c>
      <c r="X187" s="8" t="s">
        <v>10</v>
      </c>
      <c r="Y187" s="8" t="s">
        <v>1501</v>
      </c>
      <c r="Z187" s="503">
        <v>0</v>
      </c>
      <c r="AA187" s="8" t="s">
        <v>1487</v>
      </c>
    </row>
    <row r="188" spans="1:51" ht="28.5" customHeight="1">
      <c r="A188" s="8" t="s">
        <v>16</v>
      </c>
      <c r="B188" s="29" t="s">
        <v>274</v>
      </c>
      <c r="C188" s="8" t="s">
        <v>571</v>
      </c>
      <c r="D188" s="8" t="s">
        <v>575</v>
      </c>
      <c r="E188" s="8" t="s">
        <v>576</v>
      </c>
      <c r="F188" s="8"/>
      <c r="G188" s="8" t="s">
        <v>62</v>
      </c>
      <c r="H188" s="8" t="s">
        <v>577</v>
      </c>
      <c r="I188" s="9">
        <v>1</v>
      </c>
      <c r="J188" s="8"/>
      <c r="K188" s="8"/>
      <c r="L188" s="8"/>
      <c r="M188" s="8"/>
      <c r="N188" s="8"/>
      <c r="O188" s="8"/>
      <c r="P188" s="60"/>
      <c r="R188" s="38" t="s">
        <v>1499</v>
      </c>
      <c r="S188" s="8" t="s">
        <v>1485</v>
      </c>
      <c r="T188" s="8" t="s">
        <v>1500</v>
      </c>
      <c r="U188" s="8" t="s">
        <v>1369</v>
      </c>
      <c r="V188" s="8" t="s">
        <v>8</v>
      </c>
      <c r="W188" s="8">
        <v>2025</v>
      </c>
      <c r="X188" s="8" t="s">
        <v>10</v>
      </c>
      <c r="Y188" s="8" t="s">
        <v>1501</v>
      </c>
      <c r="Z188" s="503">
        <v>0</v>
      </c>
      <c r="AA188" s="8" t="s">
        <v>1487</v>
      </c>
    </row>
    <row r="189" spans="1:51" ht="28.5" customHeight="1">
      <c r="A189" s="8" t="s">
        <v>16</v>
      </c>
      <c r="B189" s="29" t="s">
        <v>274</v>
      </c>
      <c r="C189" s="8" t="s">
        <v>571</v>
      </c>
      <c r="D189" s="8" t="s">
        <v>578</v>
      </c>
      <c r="E189" s="8" t="s">
        <v>579</v>
      </c>
      <c r="F189" s="8"/>
      <c r="G189" s="8" t="s">
        <v>62</v>
      </c>
      <c r="H189" s="8" t="s">
        <v>580</v>
      </c>
      <c r="I189" s="9">
        <v>1</v>
      </c>
      <c r="J189" s="8"/>
      <c r="K189" s="8"/>
      <c r="L189" s="8"/>
      <c r="M189" s="8"/>
      <c r="N189" s="8"/>
      <c r="O189" s="8"/>
      <c r="P189" s="60"/>
      <c r="R189" s="38" t="s">
        <v>1499</v>
      </c>
      <c r="S189" s="8" t="s">
        <v>1485</v>
      </c>
      <c r="T189" s="8" t="s">
        <v>1500</v>
      </c>
      <c r="U189" s="8" t="s">
        <v>1369</v>
      </c>
      <c r="V189" s="8" t="s">
        <v>8</v>
      </c>
      <c r="W189" s="8">
        <v>2025</v>
      </c>
      <c r="X189" s="8" t="s">
        <v>10</v>
      </c>
      <c r="Y189" s="8" t="s">
        <v>1501</v>
      </c>
      <c r="Z189" s="503">
        <v>0</v>
      </c>
      <c r="AA189" s="8" t="s">
        <v>1487</v>
      </c>
    </row>
    <row r="190" spans="1:51" s="5" customFormat="1" ht="47.25">
      <c r="A190" s="20" t="s">
        <v>16</v>
      </c>
      <c r="B190" s="30" t="s">
        <v>274</v>
      </c>
      <c r="C190" s="19" t="s">
        <v>581</v>
      </c>
      <c r="D190" s="19" t="s">
        <v>582</v>
      </c>
      <c r="E190" s="19" t="s">
        <v>582</v>
      </c>
      <c r="F190" s="19" t="s">
        <v>582</v>
      </c>
      <c r="G190" s="19" t="s">
        <v>582</v>
      </c>
      <c r="H190" s="19" t="s">
        <v>582</v>
      </c>
      <c r="I190" s="19" t="s">
        <v>582</v>
      </c>
      <c r="J190" s="19" t="s">
        <v>582</v>
      </c>
      <c r="K190" s="19" t="s">
        <v>582</v>
      </c>
      <c r="L190" s="19" t="s">
        <v>582</v>
      </c>
      <c r="M190" s="19" t="s">
        <v>582</v>
      </c>
      <c r="N190" s="19" t="s">
        <v>582</v>
      </c>
      <c r="O190" s="19" t="s">
        <v>582</v>
      </c>
      <c r="P190" s="19" t="s">
        <v>582</v>
      </c>
      <c r="Q190" s="48"/>
      <c r="R190" s="44" t="s">
        <v>582</v>
      </c>
      <c r="S190" s="19" t="s">
        <v>582</v>
      </c>
      <c r="T190" s="19" t="s">
        <v>582</v>
      </c>
      <c r="U190" s="19"/>
      <c r="V190" s="19" t="s">
        <v>582</v>
      </c>
      <c r="W190" s="19" t="s">
        <v>582</v>
      </c>
      <c r="X190" s="19" t="s">
        <v>582</v>
      </c>
      <c r="Y190" s="19" t="s">
        <v>582</v>
      </c>
      <c r="Z190" s="19" t="s">
        <v>582</v>
      </c>
      <c r="AA190" s="19" t="s">
        <v>582</v>
      </c>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28.5" hidden="1" customHeight="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503"/>
      <c r="AA191" s="8"/>
    </row>
    <row r="192" spans="1:51" ht="28.5" customHeight="1">
      <c r="A192" s="8" t="s">
        <v>16</v>
      </c>
      <c r="B192" s="29" t="s">
        <v>587</v>
      </c>
      <c r="C192" s="8" t="s">
        <v>588</v>
      </c>
      <c r="D192" s="8" t="s">
        <v>589</v>
      </c>
      <c r="E192" s="8" t="s">
        <v>590</v>
      </c>
      <c r="F192" s="8"/>
      <c r="G192" s="8" t="s">
        <v>62</v>
      </c>
      <c r="H192" s="8" t="s">
        <v>591</v>
      </c>
      <c r="I192" s="9">
        <v>1</v>
      </c>
      <c r="J192" s="8"/>
      <c r="K192" s="8"/>
      <c r="L192" s="8"/>
      <c r="M192" s="8"/>
      <c r="N192" s="8"/>
      <c r="O192" s="8"/>
      <c r="P192" s="60"/>
      <c r="R192" s="38" t="s">
        <v>1499</v>
      </c>
      <c r="S192" s="8" t="s">
        <v>1485</v>
      </c>
      <c r="T192" s="8" t="s">
        <v>1500</v>
      </c>
      <c r="U192" s="8" t="s">
        <v>1369</v>
      </c>
      <c r="V192" s="8" t="s">
        <v>8</v>
      </c>
      <c r="W192" s="8">
        <v>2025</v>
      </c>
      <c r="X192" s="8" t="s">
        <v>10</v>
      </c>
      <c r="Y192" s="8" t="s">
        <v>1501</v>
      </c>
      <c r="Z192" s="503">
        <v>0</v>
      </c>
      <c r="AA192" s="8" t="s">
        <v>1487</v>
      </c>
    </row>
    <row r="193" spans="1:27" s="26" customFormat="1" ht="28.5" hidden="1" customHeight="1">
      <c r="A193" s="8" t="s">
        <v>16</v>
      </c>
      <c r="B193" s="29" t="s">
        <v>587</v>
      </c>
      <c r="C193" s="8" t="s">
        <v>588</v>
      </c>
      <c r="D193" s="8" t="s">
        <v>592</v>
      </c>
      <c r="E193" s="8" t="s">
        <v>351</v>
      </c>
      <c r="F193" s="8"/>
      <c r="G193" s="20" t="s">
        <v>62</v>
      </c>
      <c r="H193" s="20" t="s">
        <v>352</v>
      </c>
      <c r="I193" s="22">
        <v>1</v>
      </c>
      <c r="J193" s="20"/>
      <c r="K193" s="20"/>
      <c r="L193" s="20"/>
      <c r="M193" s="20"/>
      <c r="N193" s="20"/>
      <c r="O193" s="20"/>
      <c r="P193" s="20"/>
      <c r="Q193" s="46"/>
      <c r="R193" s="39"/>
      <c r="S193" s="20"/>
      <c r="T193" s="20"/>
      <c r="U193" s="20"/>
      <c r="V193" s="20"/>
      <c r="W193" s="20"/>
      <c r="X193" s="20"/>
      <c r="Y193" s="20"/>
      <c r="Z193" s="504"/>
      <c r="AA193" s="20"/>
    </row>
    <row r="194" spans="1:27" s="26" customFormat="1" ht="28.5" customHeight="1">
      <c r="A194" s="8" t="s">
        <v>16</v>
      </c>
      <c r="B194" s="29" t="s">
        <v>587</v>
      </c>
      <c r="C194" s="8" t="s">
        <v>588</v>
      </c>
      <c r="D194" s="8" t="s">
        <v>593</v>
      </c>
      <c r="E194" s="69" t="s">
        <v>594</v>
      </c>
      <c r="F194" s="8"/>
      <c r="G194" s="8" t="s">
        <v>62</v>
      </c>
      <c r="H194" s="8" t="s">
        <v>352</v>
      </c>
      <c r="I194" s="9">
        <v>1</v>
      </c>
      <c r="J194" s="8"/>
      <c r="K194" s="8"/>
      <c r="L194" s="8"/>
      <c r="M194" s="8"/>
      <c r="N194" s="8"/>
      <c r="O194" s="8"/>
      <c r="P194" s="60"/>
      <c r="Q194" s="46"/>
      <c r="R194" s="38" t="s">
        <v>1499</v>
      </c>
      <c r="S194" s="8" t="s">
        <v>1485</v>
      </c>
      <c r="T194" s="8" t="s">
        <v>1500</v>
      </c>
      <c r="U194" s="8" t="s">
        <v>1369</v>
      </c>
      <c r="V194" s="8" t="s">
        <v>8</v>
      </c>
      <c r="W194" s="8">
        <v>2025</v>
      </c>
      <c r="X194" s="8" t="s">
        <v>10</v>
      </c>
      <c r="Y194" s="8" t="s">
        <v>1501</v>
      </c>
      <c r="Z194" s="503">
        <v>0</v>
      </c>
      <c r="AA194" s="8" t="s">
        <v>1487</v>
      </c>
    </row>
    <row r="195" spans="1:27" s="26" customFormat="1" ht="28.5" customHeight="1">
      <c r="A195" s="8" t="s">
        <v>16</v>
      </c>
      <c r="B195" s="29" t="s">
        <v>587</v>
      </c>
      <c r="C195" s="8" t="s">
        <v>588</v>
      </c>
      <c r="D195" s="8" t="s">
        <v>593</v>
      </c>
      <c r="E195" s="69" t="s">
        <v>595</v>
      </c>
      <c r="F195" s="8"/>
      <c r="G195" s="8" t="s">
        <v>62</v>
      </c>
      <c r="H195" s="8" t="s">
        <v>352</v>
      </c>
      <c r="I195" s="9">
        <v>1</v>
      </c>
      <c r="J195" s="8"/>
      <c r="K195" s="8"/>
      <c r="L195" s="8"/>
      <c r="M195" s="8"/>
      <c r="N195" s="8"/>
      <c r="O195" s="8"/>
      <c r="P195" s="60"/>
      <c r="Q195" s="46"/>
      <c r="R195" s="38" t="s">
        <v>1499</v>
      </c>
      <c r="S195" s="8" t="s">
        <v>1485</v>
      </c>
      <c r="T195" s="8" t="s">
        <v>1500</v>
      </c>
      <c r="U195" s="8" t="s">
        <v>1369</v>
      </c>
      <c r="V195" s="8" t="s">
        <v>8</v>
      </c>
      <c r="W195" s="8">
        <v>2025</v>
      </c>
      <c r="X195" s="8" t="s">
        <v>10</v>
      </c>
      <c r="Y195" s="8" t="s">
        <v>1501</v>
      </c>
      <c r="Z195" s="503">
        <v>0</v>
      </c>
      <c r="AA195" s="8" t="s">
        <v>1487</v>
      </c>
    </row>
    <row r="196" spans="1:27" s="26" customFormat="1" ht="28.5" customHeight="1">
      <c r="A196" s="8" t="s">
        <v>16</v>
      </c>
      <c r="B196" s="29" t="s">
        <v>587</v>
      </c>
      <c r="C196" s="8" t="s">
        <v>588</v>
      </c>
      <c r="D196" s="8" t="s">
        <v>593</v>
      </c>
      <c r="E196" s="69" t="s">
        <v>596</v>
      </c>
      <c r="F196" s="8"/>
      <c r="G196" s="8" t="s">
        <v>62</v>
      </c>
      <c r="H196" s="8" t="s">
        <v>352</v>
      </c>
      <c r="I196" s="9">
        <v>1</v>
      </c>
      <c r="J196" s="8"/>
      <c r="K196" s="8"/>
      <c r="L196" s="8"/>
      <c r="M196" s="8"/>
      <c r="N196" s="8"/>
      <c r="O196" s="8"/>
      <c r="P196" s="60"/>
      <c r="Q196" s="46"/>
      <c r="R196" s="38" t="s">
        <v>1499</v>
      </c>
      <c r="S196" s="8" t="s">
        <v>1485</v>
      </c>
      <c r="T196" s="8" t="s">
        <v>1500</v>
      </c>
      <c r="U196" s="8" t="s">
        <v>1369</v>
      </c>
      <c r="V196" s="8" t="s">
        <v>8</v>
      </c>
      <c r="W196" s="8">
        <v>2025</v>
      </c>
      <c r="X196" s="8" t="s">
        <v>10</v>
      </c>
      <c r="Y196" s="8" t="s">
        <v>1501</v>
      </c>
      <c r="Z196" s="503">
        <v>0</v>
      </c>
      <c r="AA196" s="8" t="s">
        <v>1487</v>
      </c>
    </row>
    <row r="197" spans="1:27" s="26" customFormat="1" ht="28.5" customHeight="1">
      <c r="A197" s="8" t="s">
        <v>16</v>
      </c>
      <c r="B197" s="29" t="s">
        <v>587</v>
      </c>
      <c r="C197" s="8" t="s">
        <v>588</v>
      </c>
      <c r="D197" s="8" t="s">
        <v>593</v>
      </c>
      <c r="E197" s="69" t="s">
        <v>597</v>
      </c>
      <c r="F197" s="8"/>
      <c r="G197" s="8" t="s">
        <v>62</v>
      </c>
      <c r="H197" s="8" t="s">
        <v>352</v>
      </c>
      <c r="I197" s="9">
        <v>1</v>
      </c>
      <c r="J197" s="8"/>
      <c r="K197" s="8"/>
      <c r="L197" s="8"/>
      <c r="M197" s="8"/>
      <c r="N197" s="8"/>
      <c r="O197" s="8"/>
      <c r="P197" s="60"/>
      <c r="Q197" s="46"/>
      <c r="R197" s="38" t="s">
        <v>1499</v>
      </c>
      <c r="S197" s="8" t="s">
        <v>1485</v>
      </c>
      <c r="T197" s="8" t="s">
        <v>1500</v>
      </c>
      <c r="U197" s="8" t="s">
        <v>1369</v>
      </c>
      <c r="V197" s="8" t="s">
        <v>8</v>
      </c>
      <c r="W197" s="8">
        <v>2025</v>
      </c>
      <c r="X197" s="8" t="s">
        <v>10</v>
      </c>
      <c r="Y197" s="8" t="s">
        <v>1501</v>
      </c>
      <c r="Z197" s="503">
        <v>0</v>
      </c>
      <c r="AA197" s="8" t="s">
        <v>1487</v>
      </c>
    </row>
    <row r="198" spans="1:27" s="26" customFormat="1" ht="28.5" customHeight="1">
      <c r="A198" s="8" t="s">
        <v>16</v>
      </c>
      <c r="B198" s="29" t="s">
        <v>587</v>
      </c>
      <c r="C198" s="8" t="s">
        <v>588</v>
      </c>
      <c r="D198" s="8" t="s">
        <v>598</v>
      </c>
      <c r="E198" s="69" t="s">
        <v>599</v>
      </c>
      <c r="F198" s="8"/>
      <c r="G198" s="8" t="s">
        <v>62</v>
      </c>
      <c r="H198" s="8" t="s">
        <v>352</v>
      </c>
      <c r="I198" s="9">
        <v>1</v>
      </c>
      <c r="J198" s="8"/>
      <c r="K198" s="8"/>
      <c r="L198" s="8"/>
      <c r="M198" s="8"/>
      <c r="N198" s="8"/>
      <c r="O198" s="8"/>
      <c r="P198" s="60"/>
      <c r="Q198" s="46"/>
      <c r="R198" s="38" t="s">
        <v>1499</v>
      </c>
      <c r="S198" s="8" t="s">
        <v>1485</v>
      </c>
      <c r="T198" s="8" t="s">
        <v>1500</v>
      </c>
      <c r="U198" s="8" t="s">
        <v>1369</v>
      </c>
      <c r="V198" s="8" t="s">
        <v>8</v>
      </c>
      <c r="W198" s="8">
        <v>2025</v>
      </c>
      <c r="X198" s="8" t="s">
        <v>10</v>
      </c>
      <c r="Y198" s="8" t="s">
        <v>1501</v>
      </c>
      <c r="Z198" s="503">
        <v>0</v>
      </c>
      <c r="AA198" s="8" t="s">
        <v>1487</v>
      </c>
    </row>
    <row r="199" spans="1:27" s="26" customFormat="1" ht="28.5" customHeight="1">
      <c r="A199" s="8" t="s">
        <v>16</v>
      </c>
      <c r="B199" s="29" t="s">
        <v>587</v>
      </c>
      <c r="C199" s="8" t="s">
        <v>588</v>
      </c>
      <c r="D199" s="8" t="s">
        <v>600</v>
      </c>
      <c r="E199" s="69" t="s">
        <v>601</v>
      </c>
      <c r="F199" s="8"/>
      <c r="G199" s="8" t="s">
        <v>62</v>
      </c>
      <c r="H199" s="8" t="s">
        <v>352</v>
      </c>
      <c r="I199" s="9">
        <v>1</v>
      </c>
      <c r="J199" s="8"/>
      <c r="K199" s="8"/>
      <c r="L199" s="8"/>
      <c r="M199" s="8"/>
      <c r="N199" s="8"/>
      <c r="O199" s="8"/>
      <c r="P199" s="60"/>
      <c r="Q199" s="46"/>
      <c r="R199" s="38" t="s">
        <v>1499</v>
      </c>
      <c r="S199" s="8" t="s">
        <v>1485</v>
      </c>
      <c r="T199" s="8" t="s">
        <v>1500</v>
      </c>
      <c r="U199" s="8" t="s">
        <v>1369</v>
      </c>
      <c r="V199" s="8" t="s">
        <v>8</v>
      </c>
      <c r="W199" s="8">
        <v>2025</v>
      </c>
      <c r="X199" s="8" t="s">
        <v>10</v>
      </c>
      <c r="Y199" s="8" t="s">
        <v>1501</v>
      </c>
      <c r="Z199" s="503">
        <v>0</v>
      </c>
      <c r="AA199" s="8" t="s">
        <v>1487</v>
      </c>
    </row>
    <row r="200" spans="1:27" s="26" customFormat="1" ht="28.5" customHeight="1">
      <c r="A200" s="8" t="s">
        <v>16</v>
      </c>
      <c r="B200" s="29" t="s">
        <v>587</v>
      </c>
      <c r="C200" s="8" t="s">
        <v>588</v>
      </c>
      <c r="D200" s="8" t="s">
        <v>602</v>
      </c>
      <c r="E200" s="69" t="s">
        <v>603</v>
      </c>
      <c r="F200" s="8"/>
      <c r="G200" s="8" t="s">
        <v>62</v>
      </c>
      <c r="H200" s="8" t="s">
        <v>352</v>
      </c>
      <c r="I200" s="9">
        <v>1</v>
      </c>
      <c r="J200" s="8"/>
      <c r="K200" s="8"/>
      <c r="L200" s="8"/>
      <c r="M200" s="8"/>
      <c r="N200" s="8"/>
      <c r="O200" s="8"/>
      <c r="P200" s="60"/>
      <c r="Q200" s="46"/>
      <c r="R200" s="38" t="s">
        <v>1499</v>
      </c>
      <c r="S200" s="8" t="s">
        <v>1485</v>
      </c>
      <c r="T200" s="8" t="s">
        <v>1500</v>
      </c>
      <c r="U200" s="8" t="s">
        <v>1369</v>
      </c>
      <c r="V200" s="8" t="s">
        <v>8</v>
      </c>
      <c r="W200" s="8">
        <v>2025</v>
      </c>
      <c r="X200" s="8" t="s">
        <v>10</v>
      </c>
      <c r="Y200" s="8" t="s">
        <v>1501</v>
      </c>
      <c r="Z200" s="503">
        <v>0</v>
      </c>
      <c r="AA200" s="8" t="s">
        <v>1487</v>
      </c>
    </row>
    <row r="201" spans="1:27" s="26" customFormat="1" ht="28.5" customHeight="1">
      <c r="A201" s="8" t="s">
        <v>16</v>
      </c>
      <c r="B201" s="29" t="s">
        <v>587</v>
      </c>
      <c r="C201" s="8" t="s">
        <v>588</v>
      </c>
      <c r="D201" s="8" t="s">
        <v>604</v>
      </c>
      <c r="E201" s="69" t="s">
        <v>605</v>
      </c>
      <c r="F201" s="8"/>
      <c r="G201" s="8" t="s">
        <v>62</v>
      </c>
      <c r="H201" s="8" t="s">
        <v>352</v>
      </c>
      <c r="I201" s="9">
        <v>1</v>
      </c>
      <c r="J201" s="8"/>
      <c r="K201" s="8"/>
      <c r="L201" s="8"/>
      <c r="M201" s="8"/>
      <c r="N201" s="8"/>
      <c r="O201" s="8"/>
      <c r="P201" s="60"/>
      <c r="Q201" s="46"/>
      <c r="R201" s="38" t="s">
        <v>1499</v>
      </c>
      <c r="S201" s="8" t="s">
        <v>1485</v>
      </c>
      <c r="T201" s="8" t="s">
        <v>1500</v>
      </c>
      <c r="U201" s="8" t="s">
        <v>1369</v>
      </c>
      <c r="V201" s="8" t="s">
        <v>8</v>
      </c>
      <c r="W201" s="8">
        <v>2025</v>
      </c>
      <c r="X201" s="8" t="s">
        <v>10</v>
      </c>
      <c r="Y201" s="8" t="s">
        <v>1501</v>
      </c>
      <c r="Z201" s="503">
        <v>0</v>
      </c>
      <c r="AA201" s="8" t="s">
        <v>1487</v>
      </c>
    </row>
    <row r="202" spans="1:27" s="26" customFormat="1" ht="28.5" customHeight="1">
      <c r="A202" s="8" t="s">
        <v>16</v>
      </c>
      <c r="B202" s="29" t="s">
        <v>587</v>
      </c>
      <c r="C202" s="8" t="s">
        <v>588</v>
      </c>
      <c r="D202" s="8" t="s">
        <v>606</v>
      </c>
      <c r="E202" s="69" t="s">
        <v>607</v>
      </c>
      <c r="F202" s="8"/>
      <c r="G202" s="8" t="s">
        <v>62</v>
      </c>
      <c r="H202" s="8" t="s">
        <v>352</v>
      </c>
      <c r="I202" s="9">
        <v>1</v>
      </c>
      <c r="J202" s="8"/>
      <c r="K202" s="8"/>
      <c r="L202" s="8"/>
      <c r="M202" s="8"/>
      <c r="N202" s="8"/>
      <c r="O202" s="8"/>
      <c r="P202" s="60"/>
      <c r="Q202" s="46"/>
      <c r="R202" s="38" t="s">
        <v>1499</v>
      </c>
      <c r="S202" s="8" t="s">
        <v>1485</v>
      </c>
      <c r="T202" s="8" t="s">
        <v>1500</v>
      </c>
      <c r="U202" s="8" t="s">
        <v>1369</v>
      </c>
      <c r="V202" s="8" t="s">
        <v>8</v>
      </c>
      <c r="W202" s="8">
        <v>2025</v>
      </c>
      <c r="X202" s="8" t="s">
        <v>10</v>
      </c>
      <c r="Y202" s="8" t="s">
        <v>1501</v>
      </c>
      <c r="Z202" s="503">
        <v>0</v>
      </c>
      <c r="AA202" s="8" t="s">
        <v>1487</v>
      </c>
    </row>
    <row r="203" spans="1:27" s="26" customFormat="1" ht="28.5" customHeight="1">
      <c r="A203" s="8" t="s">
        <v>16</v>
      </c>
      <c r="B203" s="29" t="s">
        <v>587</v>
      </c>
      <c r="C203" s="8" t="s">
        <v>588</v>
      </c>
      <c r="D203" s="8" t="s">
        <v>608</v>
      </c>
      <c r="E203" s="69" t="s">
        <v>609</v>
      </c>
      <c r="F203" s="8"/>
      <c r="G203" s="8" t="s">
        <v>62</v>
      </c>
      <c r="H203" s="8" t="s">
        <v>352</v>
      </c>
      <c r="I203" s="9">
        <v>1</v>
      </c>
      <c r="J203" s="8"/>
      <c r="K203" s="8"/>
      <c r="L203" s="8"/>
      <c r="M203" s="8"/>
      <c r="N203" s="8"/>
      <c r="O203" s="8"/>
      <c r="P203" s="60"/>
      <c r="Q203" s="46"/>
      <c r="R203" s="38" t="s">
        <v>1499</v>
      </c>
      <c r="S203" s="8" t="s">
        <v>1485</v>
      </c>
      <c r="T203" s="8" t="s">
        <v>1500</v>
      </c>
      <c r="U203" s="8" t="s">
        <v>1369</v>
      </c>
      <c r="V203" s="8" t="s">
        <v>8</v>
      </c>
      <c r="W203" s="8">
        <v>2025</v>
      </c>
      <c r="X203" s="8" t="s">
        <v>10</v>
      </c>
      <c r="Y203" s="8" t="s">
        <v>1501</v>
      </c>
      <c r="Z203" s="503">
        <v>0</v>
      </c>
      <c r="AA203" s="8" t="s">
        <v>1487</v>
      </c>
    </row>
    <row r="204" spans="1:27" s="26" customFormat="1" ht="28.5" hidden="1" customHeight="1">
      <c r="A204" s="8" t="s">
        <v>16</v>
      </c>
      <c r="B204" s="29" t="s">
        <v>587</v>
      </c>
      <c r="C204" s="8" t="s">
        <v>588</v>
      </c>
      <c r="D204" s="8" t="s">
        <v>610</v>
      </c>
      <c r="E204" s="8" t="s">
        <v>611</v>
      </c>
      <c r="F204" s="8"/>
      <c r="G204" s="8" t="s">
        <v>62</v>
      </c>
      <c r="H204" s="8" t="s">
        <v>612</v>
      </c>
      <c r="I204" s="8" t="s">
        <v>110</v>
      </c>
      <c r="J204" s="8"/>
      <c r="K204" s="8"/>
      <c r="L204" s="8"/>
      <c r="M204" s="8"/>
      <c r="N204" s="8"/>
      <c r="O204" s="8"/>
      <c r="P204" s="60"/>
      <c r="Q204" s="46"/>
      <c r="R204" s="38"/>
      <c r="S204" s="8"/>
      <c r="T204" s="8"/>
      <c r="U204" s="8"/>
      <c r="V204" s="8"/>
      <c r="W204" s="8"/>
      <c r="X204" s="8"/>
      <c r="Y204" s="8"/>
      <c r="Z204" s="503"/>
      <c r="AA204" s="8"/>
    </row>
    <row r="205" spans="1:27" s="74" customFormat="1" ht="28.5" customHeight="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38" t="s">
        <v>1506</v>
      </c>
      <c r="S205" s="8" t="s">
        <v>1485</v>
      </c>
      <c r="T205" s="8" t="s">
        <v>1507</v>
      </c>
      <c r="U205" s="8" t="s">
        <v>1369</v>
      </c>
      <c r="V205" s="8" t="s">
        <v>8</v>
      </c>
      <c r="W205" s="8">
        <v>2025</v>
      </c>
      <c r="X205" s="8" t="s">
        <v>10</v>
      </c>
      <c r="Y205" s="8" t="s">
        <v>1501</v>
      </c>
      <c r="Z205" s="503">
        <v>0</v>
      </c>
      <c r="AA205" s="8" t="s">
        <v>1487</v>
      </c>
    </row>
    <row r="206" spans="1:27" s="26" customFormat="1" ht="78.75" hidden="1">
      <c r="A206" s="8" t="s">
        <v>16</v>
      </c>
      <c r="B206" s="29" t="s">
        <v>587</v>
      </c>
      <c r="C206" s="8" t="s">
        <v>613</v>
      </c>
      <c r="D206" s="8" t="s">
        <v>617</v>
      </c>
      <c r="E206" s="8" t="s">
        <v>615</v>
      </c>
      <c r="F206" s="8"/>
      <c r="G206" s="8" t="s">
        <v>58</v>
      </c>
      <c r="H206" s="8" t="s">
        <v>428</v>
      </c>
      <c r="I206" s="9">
        <v>1</v>
      </c>
      <c r="J206" s="8"/>
      <c r="K206" s="8"/>
      <c r="L206" s="8"/>
      <c r="M206" s="8"/>
      <c r="N206" s="8"/>
      <c r="O206" s="8"/>
      <c r="P206" s="60"/>
      <c r="Q206" s="46"/>
      <c r="R206" s="38"/>
      <c r="S206" s="8"/>
      <c r="T206" s="8"/>
      <c r="U206" s="8"/>
      <c r="V206" s="8"/>
      <c r="W206" s="8"/>
      <c r="X206" s="8"/>
      <c r="Y206" s="8"/>
      <c r="Z206" s="8"/>
      <c r="AA206" s="8"/>
    </row>
    <row r="207" spans="1:27" s="26" customFormat="1" ht="28.5" hidden="1" customHeight="1">
      <c r="A207" s="8" t="s">
        <v>16</v>
      </c>
      <c r="B207" s="29" t="s">
        <v>587</v>
      </c>
      <c r="C207" s="8" t="s">
        <v>613</v>
      </c>
      <c r="D207" s="8" t="s">
        <v>618</v>
      </c>
      <c r="E207" s="8" t="s">
        <v>619</v>
      </c>
      <c r="F207" s="8"/>
      <c r="G207" s="8" t="s">
        <v>71</v>
      </c>
      <c r="H207" s="8" t="s">
        <v>432</v>
      </c>
      <c r="I207" s="8">
        <v>2030</v>
      </c>
      <c r="J207" s="8"/>
      <c r="K207" s="8"/>
      <c r="L207" s="8"/>
      <c r="M207" s="8"/>
      <c r="N207" s="8"/>
      <c r="O207" s="8"/>
      <c r="P207" s="60"/>
      <c r="Q207" s="46"/>
      <c r="R207" s="38"/>
      <c r="S207" s="8"/>
      <c r="T207" s="8"/>
      <c r="U207" s="8"/>
      <c r="V207" s="8"/>
      <c r="W207" s="8"/>
      <c r="X207" s="8"/>
      <c r="Y207" s="8"/>
      <c r="Z207" s="503"/>
      <c r="AA207" s="8"/>
    </row>
    <row r="208" spans="1:27" s="26" customFormat="1" ht="78.75" hidden="1">
      <c r="A208" s="8" t="s">
        <v>16</v>
      </c>
      <c r="B208" s="29" t="s">
        <v>587</v>
      </c>
      <c r="C208" s="8" t="s">
        <v>620</v>
      </c>
      <c r="D208" s="8" t="s">
        <v>621</v>
      </c>
      <c r="E208" s="8" t="s">
        <v>622</v>
      </c>
      <c r="F208" s="8"/>
      <c r="G208" s="8" t="s">
        <v>58</v>
      </c>
      <c r="H208" s="8" t="s">
        <v>623</v>
      </c>
      <c r="I208" s="9">
        <v>1</v>
      </c>
      <c r="J208" s="8"/>
      <c r="K208" s="8"/>
      <c r="L208" s="8"/>
      <c r="M208" s="8"/>
      <c r="N208" s="8"/>
      <c r="O208" s="8"/>
      <c r="P208" s="60"/>
      <c r="Q208" s="46"/>
      <c r="R208" s="38"/>
      <c r="S208" s="8"/>
      <c r="T208" s="8"/>
      <c r="U208" s="8"/>
      <c r="V208" s="8"/>
      <c r="W208" s="8"/>
      <c r="X208" s="8"/>
      <c r="Y208" s="8"/>
      <c r="Z208" s="8"/>
      <c r="AA208" s="8"/>
    </row>
    <row r="209" spans="1:27" s="26" customFormat="1" ht="28.5" customHeight="1">
      <c r="A209" s="8" t="s">
        <v>16</v>
      </c>
      <c r="B209" s="29" t="s">
        <v>587</v>
      </c>
      <c r="C209" s="8" t="s">
        <v>624</v>
      </c>
      <c r="D209" s="8" t="s">
        <v>625</v>
      </c>
      <c r="E209" s="8" t="s">
        <v>626</v>
      </c>
      <c r="F209" s="8"/>
      <c r="G209" s="8" t="s">
        <v>62</v>
      </c>
      <c r="H209" s="8" t="s">
        <v>627</v>
      </c>
      <c r="I209" s="9">
        <v>0.5</v>
      </c>
      <c r="J209" s="8"/>
      <c r="K209" s="8"/>
      <c r="L209" s="8"/>
      <c r="M209" s="8"/>
      <c r="N209" s="8"/>
      <c r="O209" s="8"/>
      <c r="P209" s="60"/>
      <c r="Q209" s="46"/>
      <c r="R209" s="38" t="s">
        <v>1508</v>
      </c>
      <c r="S209" s="8" t="s">
        <v>1485</v>
      </c>
      <c r="T209" s="8" t="s">
        <v>1509</v>
      </c>
      <c r="U209" s="8" t="s">
        <v>1369</v>
      </c>
      <c r="V209" s="8" t="s">
        <v>8</v>
      </c>
      <c r="W209" s="8">
        <v>2025</v>
      </c>
      <c r="X209" s="8" t="s">
        <v>10</v>
      </c>
      <c r="Y209" s="8" t="s">
        <v>1501</v>
      </c>
      <c r="Z209" s="503">
        <v>0</v>
      </c>
      <c r="AA209" s="8" t="s">
        <v>1487</v>
      </c>
    </row>
    <row r="210" spans="1:27" s="26" customFormat="1" ht="28.5" customHeight="1">
      <c r="A210" s="8" t="s">
        <v>16</v>
      </c>
      <c r="B210" s="29" t="s">
        <v>587</v>
      </c>
      <c r="C210" s="8" t="s">
        <v>624</v>
      </c>
      <c r="D210" s="8" t="s">
        <v>628</v>
      </c>
      <c r="E210" s="8" t="s">
        <v>629</v>
      </c>
      <c r="F210" s="8"/>
      <c r="G210" s="8" t="s">
        <v>62</v>
      </c>
      <c r="H210" s="8" t="s">
        <v>476</v>
      </c>
      <c r="I210" s="8" t="s">
        <v>210</v>
      </c>
      <c r="J210" s="8"/>
      <c r="K210" s="8"/>
      <c r="L210" s="8"/>
      <c r="M210" s="8"/>
      <c r="N210" s="8"/>
      <c r="O210" s="8"/>
      <c r="P210" s="60"/>
      <c r="Q210" s="46"/>
      <c r="R210" s="38" t="s">
        <v>1508</v>
      </c>
      <c r="S210" s="8" t="s">
        <v>1485</v>
      </c>
      <c r="T210" s="8" t="s">
        <v>1509</v>
      </c>
      <c r="U210" s="8" t="s">
        <v>1369</v>
      </c>
      <c r="V210" s="8" t="s">
        <v>8</v>
      </c>
      <c r="W210" s="8">
        <v>2025</v>
      </c>
      <c r="X210" s="8" t="s">
        <v>10</v>
      </c>
      <c r="Y210" s="8" t="s">
        <v>1501</v>
      </c>
      <c r="Z210" s="503">
        <v>0</v>
      </c>
      <c r="AA210" s="8" t="s">
        <v>1487</v>
      </c>
    </row>
    <row r="211" spans="1:27" s="26" customFormat="1" ht="28.5" customHeight="1">
      <c r="A211" s="8" t="s">
        <v>16</v>
      </c>
      <c r="B211" s="29" t="s">
        <v>587</v>
      </c>
      <c r="C211" s="8" t="s">
        <v>624</v>
      </c>
      <c r="D211" s="8" t="s">
        <v>630</v>
      </c>
      <c r="E211" s="8" t="s">
        <v>631</v>
      </c>
      <c r="F211" s="8"/>
      <c r="G211" s="8" t="s">
        <v>62</v>
      </c>
      <c r="H211" s="8" t="s">
        <v>476</v>
      </c>
      <c r="I211" s="8" t="s">
        <v>210</v>
      </c>
      <c r="J211" s="8"/>
      <c r="K211" s="8"/>
      <c r="L211" s="8"/>
      <c r="M211" s="8"/>
      <c r="N211" s="8"/>
      <c r="O211" s="8"/>
      <c r="P211" s="60"/>
      <c r="Q211" s="46"/>
      <c r="R211" s="38" t="s">
        <v>1508</v>
      </c>
      <c r="S211" s="8" t="s">
        <v>1485</v>
      </c>
      <c r="T211" s="8" t="s">
        <v>1509</v>
      </c>
      <c r="U211" s="8" t="s">
        <v>1369</v>
      </c>
      <c r="V211" s="8" t="s">
        <v>8</v>
      </c>
      <c r="W211" s="8">
        <v>2025</v>
      </c>
      <c r="X211" s="8" t="s">
        <v>10</v>
      </c>
      <c r="Y211" s="8" t="s">
        <v>1501</v>
      </c>
      <c r="Z211" s="503">
        <v>0</v>
      </c>
      <c r="AA211" s="8" t="s">
        <v>1487</v>
      </c>
    </row>
    <row r="212" spans="1:27" s="26" customFormat="1" ht="28.5" customHeight="1">
      <c r="A212" s="8" t="s">
        <v>16</v>
      </c>
      <c r="B212" s="29" t="s">
        <v>587</v>
      </c>
      <c r="C212" s="8" t="s">
        <v>624</v>
      </c>
      <c r="D212" s="8" t="s">
        <v>632</v>
      </c>
      <c r="E212" s="8" t="s">
        <v>633</v>
      </c>
      <c r="F212" s="8"/>
      <c r="G212" s="8" t="s">
        <v>62</v>
      </c>
      <c r="H212" s="8" t="s">
        <v>634</v>
      </c>
      <c r="I212" s="9">
        <v>1</v>
      </c>
      <c r="J212" s="8"/>
      <c r="K212" s="8"/>
      <c r="L212" s="8"/>
      <c r="M212" s="8"/>
      <c r="N212" s="8"/>
      <c r="O212" s="8"/>
      <c r="P212" s="60"/>
      <c r="Q212" s="46"/>
      <c r="R212" s="38" t="s">
        <v>1510</v>
      </c>
      <c r="S212" s="38" t="s">
        <v>1510</v>
      </c>
      <c r="T212" s="38" t="s">
        <v>1510</v>
      </c>
      <c r="U212" s="38" t="s">
        <v>1510</v>
      </c>
      <c r="V212" s="38" t="s">
        <v>1510</v>
      </c>
      <c r="W212" s="38" t="s">
        <v>1510</v>
      </c>
      <c r="X212" s="38" t="s">
        <v>1510</v>
      </c>
      <c r="Y212" s="38" t="s">
        <v>1510</v>
      </c>
      <c r="Z212" s="510" t="s">
        <v>1510</v>
      </c>
      <c r="AA212" s="38" t="s">
        <v>1510</v>
      </c>
    </row>
    <row r="213" spans="1:27" s="26" customFormat="1" ht="28.5" customHeight="1">
      <c r="A213" s="8" t="s">
        <v>16</v>
      </c>
      <c r="B213" s="29" t="s">
        <v>587</v>
      </c>
      <c r="C213" s="8" t="s">
        <v>624</v>
      </c>
      <c r="D213" s="8" t="s">
        <v>635</v>
      </c>
      <c r="E213" s="8" t="s">
        <v>636</v>
      </c>
      <c r="F213" s="8"/>
      <c r="G213" s="8" t="s">
        <v>71</v>
      </c>
      <c r="H213" s="8" t="s">
        <v>637</v>
      </c>
      <c r="I213" s="8" t="s">
        <v>638</v>
      </c>
      <c r="J213" s="8"/>
      <c r="K213" s="8"/>
      <c r="L213" s="8"/>
      <c r="M213" s="8"/>
      <c r="N213" s="8"/>
      <c r="O213" s="8"/>
      <c r="P213" s="60"/>
      <c r="Q213" s="46"/>
      <c r="R213" s="38" t="s">
        <v>1508</v>
      </c>
      <c r="S213" s="8" t="s">
        <v>1485</v>
      </c>
      <c r="T213" s="8" t="s">
        <v>1509</v>
      </c>
      <c r="U213" s="8" t="s">
        <v>1369</v>
      </c>
      <c r="V213" s="8" t="s">
        <v>8</v>
      </c>
      <c r="W213" s="8">
        <v>2025</v>
      </c>
      <c r="X213" s="8" t="s">
        <v>10</v>
      </c>
      <c r="Y213" s="8" t="s">
        <v>1501</v>
      </c>
      <c r="Z213" s="503">
        <v>0</v>
      </c>
      <c r="AA213" s="8" t="s">
        <v>1487</v>
      </c>
    </row>
    <row r="214" spans="1:27" s="26" customFormat="1" ht="28.5" hidden="1" customHeight="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513"/>
      <c r="AA214" s="100"/>
    </row>
    <row r="215" spans="1:27" s="26" customFormat="1" ht="28.5" customHeight="1">
      <c r="A215" s="8" t="s">
        <v>18</v>
      </c>
      <c r="B215" s="29" t="s">
        <v>54</v>
      </c>
      <c r="C215" s="8" t="s">
        <v>640</v>
      </c>
      <c r="D215" s="8" t="s">
        <v>641</v>
      </c>
      <c r="E215" s="8" t="s">
        <v>642</v>
      </c>
      <c r="F215" s="8"/>
      <c r="G215" s="8" t="s">
        <v>62</v>
      </c>
      <c r="H215" s="8" t="s">
        <v>484</v>
      </c>
      <c r="I215" s="8" t="s">
        <v>485</v>
      </c>
      <c r="J215" s="8"/>
      <c r="K215" s="8"/>
      <c r="L215" s="8"/>
      <c r="M215" s="8"/>
      <c r="N215" s="8"/>
      <c r="O215" s="8"/>
      <c r="P215" s="60"/>
      <c r="Q215" s="46"/>
      <c r="R215" s="38" t="s">
        <v>1511</v>
      </c>
      <c r="S215" s="8" t="s">
        <v>1355</v>
      </c>
      <c r="T215" s="8" t="s">
        <v>1512</v>
      </c>
      <c r="U215" s="8" t="s">
        <v>1357</v>
      </c>
      <c r="V215" s="8" t="s">
        <v>1191</v>
      </c>
      <c r="W215" s="8" t="s">
        <v>1513</v>
      </c>
      <c r="X215" s="8" t="s">
        <v>9</v>
      </c>
      <c r="Y215" s="8"/>
      <c r="Z215" s="503">
        <v>10000</v>
      </c>
      <c r="AA215" s="8" t="s">
        <v>1514</v>
      </c>
    </row>
    <row r="216" spans="1:27" s="26" customFormat="1" ht="28.5" customHeight="1">
      <c r="A216" s="8" t="s">
        <v>18</v>
      </c>
      <c r="B216" s="29" t="s">
        <v>54</v>
      </c>
      <c r="C216" s="8" t="s">
        <v>643</v>
      </c>
      <c r="D216" s="8" t="s">
        <v>644</v>
      </c>
      <c r="E216" s="8" t="s">
        <v>645</v>
      </c>
      <c r="F216" s="8"/>
      <c r="G216" s="8" t="s">
        <v>62</v>
      </c>
      <c r="H216" s="8" t="s">
        <v>646</v>
      </c>
      <c r="I216" s="8" t="s">
        <v>85</v>
      </c>
      <c r="J216" s="8"/>
      <c r="K216" s="8"/>
      <c r="L216" s="8"/>
      <c r="M216" s="8"/>
      <c r="N216" s="8"/>
      <c r="O216" s="8"/>
      <c r="P216" s="60"/>
      <c r="Q216" s="46"/>
      <c r="R216" s="38" t="s">
        <v>1515</v>
      </c>
      <c r="S216" s="8" t="s">
        <v>1516</v>
      </c>
      <c r="T216" s="8" t="s">
        <v>1517</v>
      </c>
      <c r="U216" s="8" t="s">
        <v>1357</v>
      </c>
      <c r="V216" s="8" t="s">
        <v>1191</v>
      </c>
      <c r="W216" s="8">
        <v>2023</v>
      </c>
      <c r="X216" s="8" t="s">
        <v>9</v>
      </c>
      <c r="Y216" s="8" t="s">
        <v>1518</v>
      </c>
      <c r="Z216" s="503">
        <f>32000+209058</f>
        <v>241058</v>
      </c>
      <c r="AA216" s="8" t="s">
        <v>1519</v>
      </c>
    </row>
    <row r="217" spans="1:27" s="26" customFormat="1" ht="28.5" hidden="1" customHeight="1">
      <c r="A217" s="8" t="s">
        <v>18</v>
      </c>
      <c r="B217" s="29" t="s">
        <v>54</v>
      </c>
      <c r="C217" s="8" t="s">
        <v>643</v>
      </c>
      <c r="D217" s="8" t="s">
        <v>647</v>
      </c>
      <c r="E217" s="8" t="s">
        <v>648</v>
      </c>
      <c r="F217" s="8"/>
      <c r="G217" s="8" t="s">
        <v>71</v>
      </c>
      <c r="H217" s="8" t="s">
        <v>649</v>
      </c>
      <c r="I217" s="9">
        <v>1</v>
      </c>
      <c r="J217" s="8"/>
      <c r="K217" s="8"/>
      <c r="L217" s="8"/>
      <c r="M217" s="8"/>
      <c r="N217" s="8"/>
      <c r="O217" s="8"/>
      <c r="P217" s="60"/>
      <c r="Q217" s="46"/>
      <c r="R217" s="38"/>
      <c r="S217" s="8"/>
      <c r="T217" s="8"/>
      <c r="U217" s="8"/>
      <c r="V217" s="8"/>
      <c r="W217" s="8"/>
      <c r="X217" s="8"/>
      <c r="Y217" s="8"/>
      <c r="Z217" s="503"/>
      <c r="AA217" s="8"/>
    </row>
    <row r="218" spans="1:27" s="26" customFormat="1" ht="28.5" hidden="1" customHeight="1">
      <c r="A218" s="8" t="s">
        <v>18</v>
      </c>
      <c r="B218" s="29" t="s">
        <v>54</v>
      </c>
      <c r="C218" s="8" t="s">
        <v>643</v>
      </c>
      <c r="D218" s="8" t="s">
        <v>650</v>
      </c>
      <c r="E218" s="8" t="s">
        <v>651</v>
      </c>
      <c r="F218" s="8"/>
      <c r="G218" s="8" t="s">
        <v>71</v>
      </c>
      <c r="H218" s="8" t="s">
        <v>652</v>
      </c>
      <c r="I218" s="9">
        <v>1</v>
      </c>
      <c r="J218" s="8"/>
      <c r="K218" s="8"/>
      <c r="L218" s="8"/>
      <c r="M218" s="8"/>
      <c r="N218" s="8"/>
      <c r="O218" s="8"/>
      <c r="P218" s="60"/>
      <c r="Q218" s="46"/>
      <c r="R218" s="38"/>
      <c r="S218" s="8"/>
      <c r="T218" s="8"/>
      <c r="U218" s="8"/>
      <c r="V218" s="8"/>
      <c r="W218" s="8"/>
      <c r="X218" s="8"/>
      <c r="Y218" s="8"/>
      <c r="Z218" s="503"/>
      <c r="AA218" s="8"/>
    </row>
    <row r="219" spans="1:27" s="26" customFormat="1" ht="28.5" hidden="1" customHeight="1">
      <c r="A219" s="8" t="s">
        <v>18</v>
      </c>
      <c r="B219" s="29" t="s">
        <v>54</v>
      </c>
      <c r="C219" s="8" t="s">
        <v>643</v>
      </c>
      <c r="D219" s="8" t="s">
        <v>653</v>
      </c>
      <c r="E219" s="8" t="s">
        <v>654</v>
      </c>
      <c r="F219" s="8"/>
      <c r="G219" s="8" t="s">
        <v>71</v>
      </c>
      <c r="H219" s="8" t="s">
        <v>655</v>
      </c>
      <c r="I219" s="9">
        <v>1</v>
      </c>
      <c r="J219" s="8"/>
      <c r="K219" s="8"/>
      <c r="L219" s="8"/>
      <c r="M219" s="8"/>
      <c r="N219" s="8"/>
      <c r="O219" s="8"/>
      <c r="P219" s="60"/>
      <c r="Q219" s="46"/>
      <c r="R219" s="38"/>
      <c r="S219" s="8"/>
      <c r="T219" s="8"/>
      <c r="U219" s="8"/>
      <c r="V219" s="8"/>
      <c r="W219" s="8"/>
      <c r="X219" s="8"/>
      <c r="Y219" s="8"/>
      <c r="Z219" s="503"/>
      <c r="AA219" s="8"/>
    </row>
    <row r="220" spans="1:27" s="26" customFormat="1" ht="28.5" hidden="1" customHeight="1">
      <c r="A220" s="8" t="s">
        <v>18</v>
      </c>
      <c r="B220" s="29" t="s">
        <v>54</v>
      </c>
      <c r="C220" s="8" t="s">
        <v>643</v>
      </c>
      <c r="D220" s="8" t="s">
        <v>656</v>
      </c>
      <c r="E220" s="8" t="s">
        <v>657</v>
      </c>
      <c r="F220" s="8"/>
      <c r="G220" s="8" t="s">
        <v>62</v>
      </c>
      <c r="H220" s="8" t="s">
        <v>658</v>
      </c>
      <c r="I220" s="8" t="s">
        <v>659</v>
      </c>
      <c r="J220" s="8"/>
      <c r="K220" s="8"/>
      <c r="L220" s="8"/>
      <c r="M220" s="8"/>
      <c r="N220" s="8"/>
      <c r="O220" s="8"/>
      <c r="P220" s="60"/>
      <c r="Q220" s="46"/>
      <c r="R220" s="38"/>
      <c r="S220" s="8"/>
      <c r="T220" s="8"/>
      <c r="U220" s="8"/>
      <c r="V220" s="8"/>
      <c r="W220" s="8"/>
      <c r="X220" s="8"/>
      <c r="Y220" s="8"/>
      <c r="Z220" s="503"/>
      <c r="AA220" s="8"/>
    </row>
    <row r="221" spans="1:27" s="26" customFormat="1" ht="28.5" hidden="1" customHeight="1">
      <c r="A221" s="8" t="s">
        <v>18</v>
      </c>
      <c r="B221" s="29" t="s">
        <v>54</v>
      </c>
      <c r="C221" s="8" t="s">
        <v>660</v>
      </c>
      <c r="D221" s="8" t="s">
        <v>661</v>
      </c>
      <c r="E221" s="8" t="s">
        <v>529</v>
      </c>
      <c r="F221" s="8"/>
      <c r="G221" s="8" t="s">
        <v>62</v>
      </c>
      <c r="H221" s="8" t="s">
        <v>530</v>
      </c>
      <c r="I221" s="8" t="s">
        <v>135</v>
      </c>
      <c r="J221" s="8"/>
      <c r="K221" s="8"/>
      <c r="L221" s="8"/>
      <c r="M221" s="8"/>
      <c r="N221" s="8"/>
      <c r="O221" s="8"/>
      <c r="P221" s="60"/>
      <c r="Q221" s="46"/>
      <c r="R221" s="38"/>
      <c r="S221" s="8"/>
      <c r="T221" s="8"/>
      <c r="U221" s="8"/>
      <c r="V221" s="8"/>
      <c r="W221" s="8"/>
      <c r="X221" s="8"/>
      <c r="Y221" s="8"/>
      <c r="Z221" s="503"/>
      <c r="AA221" s="8"/>
    </row>
    <row r="222" spans="1:27" s="26" customFormat="1" ht="28.5" customHeight="1">
      <c r="A222" s="8" t="s">
        <v>18</v>
      </c>
      <c r="B222" s="29" t="s">
        <v>54</v>
      </c>
      <c r="C222" s="8" t="s">
        <v>660</v>
      </c>
      <c r="D222" s="8" t="s">
        <v>662</v>
      </c>
      <c r="E222" s="8" t="s">
        <v>524</v>
      </c>
      <c r="F222" s="8"/>
      <c r="G222" s="8" t="s">
        <v>62</v>
      </c>
      <c r="H222" s="8" t="s">
        <v>525</v>
      </c>
      <c r="I222" s="8" t="s">
        <v>526</v>
      </c>
      <c r="J222" s="8"/>
      <c r="K222" s="8"/>
      <c r="L222" s="8"/>
      <c r="M222" s="8"/>
      <c r="N222" s="8"/>
      <c r="O222" s="8"/>
      <c r="P222" s="60"/>
      <c r="Q222" s="46"/>
      <c r="R222" s="38" t="s">
        <v>1484</v>
      </c>
      <c r="S222" s="8" t="s">
        <v>1485</v>
      </c>
      <c r="T222" s="8" t="s">
        <v>1486</v>
      </c>
      <c r="U222" s="8" t="s">
        <v>1369</v>
      </c>
      <c r="V222" s="8" t="s">
        <v>8</v>
      </c>
      <c r="W222" s="8">
        <v>2025</v>
      </c>
      <c r="X222" s="8" t="s">
        <v>10</v>
      </c>
      <c r="Y222" s="8"/>
      <c r="Z222" s="503">
        <v>0</v>
      </c>
      <c r="AA222" s="8" t="s">
        <v>1487</v>
      </c>
    </row>
    <row r="223" spans="1:27" s="26" customFormat="1" ht="28.5" customHeight="1">
      <c r="A223" s="8" t="s">
        <v>18</v>
      </c>
      <c r="B223" s="29" t="s">
        <v>195</v>
      </c>
      <c r="C223" s="8" t="s">
        <v>663</v>
      </c>
      <c r="D223" s="8" t="s">
        <v>664</v>
      </c>
      <c r="E223" s="8" t="s">
        <v>665</v>
      </c>
      <c r="F223" s="8"/>
      <c r="G223" s="8" t="s">
        <v>62</v>
      </c>
      <c r="H223" s="8" t="s">
        <v>666</v>
      </c>
      <c r="I223" s="8" t="s">
        <v>667</v>
      </c>
      <c r="J223" s="8"/>
      <c r="K223" s="8"/>
      <c r="L223" s="8"/>
      <c r="M223" s="8"/>
      <c r="N223" s="8"/>
      <c r="O223" s="8"/>
      <c r="P223" s="60"/>
      <c r="Q223" s="46"/>
      <c r="R223" s="38" t="s">
        <v>1520</v>
      </c>
      <c r="S223" s="8" t="s">
        <v>1521</v>
      </c>
      <c r="T223" s="8" t="s">
        <v>1522</v>
      </c>
      <c r="U223" s="8" t="s">
        <v>1357</v>
      </c>
      <c r="V223" s="8" t="s">
        <v>1191</v>
      </c>
      <c r="W223" s="8">
        <v>2023</v>
      </c>
      <c r="X223" s="8" t="s">
        <v>9</v>
      </c>
      <c r="Y223" s="8" t="s">
        <v>1523</v>
      </c>
      <c r="Z223" s="503">
        <v>0</v>
      </c>
      <c r="AA223" s="8" t="s">
        <v>1524</v>
      </c>
    </row>
    <row r="224" spans="1:27" s="26" customFormat="1" ht="28.5" customHeight="1">
      <c r="A224" s="8" t="s">
        <v>18</v>
      </c>
      <c r="B224" s="29" t="s">
        <v>195</v>
      </c>
      <c r="C224" s="8" t="s">
        <v>663</v>
      </c>
      <c r="D224" s="8" t="s">
        <v>668</v>
      </c>
      <c r="E224" s="8" t="s">
        <v>669</v>
      </c>
      <c r="F224" s="8"/>
      <c r="G224" s="8" t="s">
        <v>62</v>
      </c>
      <c r="H224" s="8" t="s">
        <v>670</v>
      </c>
      <c r="I224" s="8" t="s">
        <v>671</v>
      </c>
      <c r="J224" s="8"/>
      <c r="K224" s="8"/>
      <c r="L224" s="8"/>
      <c r="M224" s="8"/>
      <c r="N224" s="8"/>
      <c r="O224" s="8"/>
      <c r="P224" s="60"/>
      <c r="Q224" s="46"/>
      <c r="R224" s="38" t="s">
        <v>1525</v>
      </c>
      <c r="S224" s="8" t="s">
        <v>1355</v>
      </c>
      <c r="T224" s="8" t="s">
        <v>1526</v>
      </c>
      <c r="U224" s="8" t="s">
        <v>1357</v>
      </c>
      <c r="V224" s="8" t="s">
        <v>1191</v>
      </c>
      <c r="W224" s="8">
        <v>2023</v>
      </c>
      <c r="X224" s="8" t="s">
        <v>9</v>
      </c>
      <c r="Y224" s="8" t="s">
        <v>1527</v>
      </c>
      <c r="Z224" s="503">
        <v>0</v>
      </c>
      <c r="AA224" s="8" t="s">
        <v>1528</v>
      </c>
    </row>
    <row r="225" spans="1:27" s="26" customFormat="1" ht="28.5" customHeight="1">
      <c r="A225" s="8" t="s">
        <v>18</v>
      </c>
      <c r="B225" s="29" t="s">
        <v>195</v>
      </c>
      <c r="C225" s="8" t="s">
        <v>663</v>
      </c>
      <c r="D225" s="8" t="s">
        <v>672</v>
      </c>
      <c r="E225" s="8" t="s">
        <v>673</v>
      </c>
      <c r="F225" s="8"/>
      <c r="G225" s="8" t="s">
        <v>62</v>
      </c>
      <c r="H225" s="8" t="s">
        <v>537</v>
      </c>
      <c r="I225" s="8" t="s">
        <v>538</v>
      </c>
      <c r="J225" s="8"/>
      <c r="K225" s="8"/>
      <c r="L225" s="8"/>
      <c r="M225" s="8"/>
      <c r="N225" s="8"/>
      <c r="O225" s="8"/>
      <c r="P225" s="60"/>
      <c r="Q225" s="46"/>
      <c r="R225" s="38" t="s">
        <v>1439</v>
      </c>
      <c r="S225" s="8" t="s">
        <v>1440</v>
      </c>
      <c r="T225" s="8" t="s">
        <v>1441</v>
      </c>
      <c r="U225" s="8" t="s">
        <v>1357</v>
      </c>
      <c r="V225" s="8" t="s">
        <v>1191</v>
      </c>
      <c r="W225" s="8">
        <v>2027</v>
      </c>
      <c r="X225" s="8" t="s">
        <v>11</v>
      </c>
      <c r="Y225" s="8" t="s">
        <v>1442</v>
      </c>
      <c r="Z225" s="503">
        <v>0</v>
      </c>
      <c r="AA225" s="8" t="s">
        <v>1529</v>
      </c>
    </row>
    <row r="226" spans="1:27" s="26" customFormat="1" ht="28.5" customHeight="1">
      <c r="A226" s="8" t="s">
        <v>18</v>
      </c>
      <c r="B226" s="29" t="s">
        <v>195</v>
      </c>
      <c r="C226" s="8" t="s">
        <v>674</v>
      </c>
      <c r="D226" s="8" t="s">
        <v>675</v>
      </c>
      <c r="E226" s="8" t="s">
        <v>676</v>
      </c>
      <c r="F226" s="8"/>
      <c r="G226" s="8" t="s">
        <v>62</v>
      </c>
      <c r="H226" s="8" t="s">
        <v>677</v>
      </c>
      <c r="I226" s="9">
        <v>1</v>
      </c>
      <c r="J226" s="8"/>
      <c r="K226" s="8"/>
      <c r="L226" s="8"/>
      <c r="M226" s="8"/>
      <c r="N226" s="8"/>
      <c r="O226" s="8"/>
      <c r="P226" s="60"/>
      <c r="Q226" s="46"/>
      <c r="R226" s="38" t="s">
        <v>1520</v>
      </c>
      <c r="S226" s="8" t="s">
        <v>1521</v>
      </c>
      <c r="T226" s="8" t="s">
        <v>1522</v>
      </c>
      <c r="U226" s="8" t="s">
        <v>1357</v>
      </c>
      <c r="V226" s="8" t="s">
        <v>1191</v>
      </c>
      <c r="W226" s="8">
        <v>2023</v>
      </c>
      <c r="X226" s="8" t="s">
        <v>9</v>
      </c>
      <c r="Y226" s="8" t="s">
        <v>1523</v>
      </c>
      <c r="Z226" s="503">
        <v>0</v>
      </c>
      <c r="AA226" s="8" t="s">
        <v>1524</v>
      </c>
    </row>
    <row r="227" spans="1:27" s="26" customFormat="1" ht="28.5" hidden="1" customHeight="1">
      <c r="A227" s="8" t="s">
        <v>18</v>
      </c>
      <c r="B227" s="29" t="s">
        <v>195</v>
      </c>
      <c r="C227" s="8" t="s">
        <v>678</v>
      </c>
      <c r="D227" s="8" t="s">
        <v>679</v>
      </c>
      <c r="E227" s="76" t="s">
        <v>253</v>
      </c>
      <c r="F227" s="8"/>
      <c r="G227" s="20" t="s">
        <v>62</v>
      </c>
      <c r="H227" s="20"/>
      <c r="I227" s="22"/>
      <c r="J227" s="20"/>
      <c r="K227" s="20"/>
      <c r="L227" s="20"/>
      <c r="M227" s="20"/>
      <c r="N227" s="20"/>
      <c r="O227" s="20"/>
      <c r="P227" s="20"/>
      <c r="Q227" s="46"/>
      <c r="R227" s="39"/>
      <c r="S227" s="20"/>
      <c r="T227" s="20"/>
      <c r="U227" s="20"/>
      <c r="V227" s="20"/>
      <c r="W227" s="20"/>
      <c r="X227" s="20"/>
      <c r="Y227" s="20"/>
      <c r="Z227" s="504"/>
      <c r="AA227" s="20"/>
    </row>
    <row r="228" spans="1:27" s="26" customFormat="1" ht="28.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Q228" s="46"/>
      <c r="R228" s="38"/>
      <c r="S228" s="8"/>
      <c r="T228" s="8"/>
      <c r="U228" s="8"/>
      <c r="V228" s="8"/>
      <c r="W228" s="8"/>
      <c r="X228" s="8"/>
      <c r="Y228" s="8"/>
      <c r="Z228" s="503"/>
      <c r="AA228" s="8"/>
    </row>
    <row r="229" spans="1:27" s="26" customFormat="1" ht="28.5" hidden="1" customHeight="1">
      <c r="A229" s="8" t="s">
        <v>18</v>
      </c>
      <c r="B229" s="29" t="s">
        <v>195</v>
      </c>
      <c r="C229" s="8" t="s">
        <v>678</v>
      </c>
      <c r="D229" s="8" t="s">
        <v>682</v>
      </c>
      <c r="E229" s="69" t="s">
        <v>548</v>
      </c>
      <c r="F229" s="8"/>
      <c r="G229" s="8" t="s">
        <v>62</v>
      </c>
      <c r="H229" s="8" t="s">
        <v>549</v>
      </c>
      <c r="I229" s="9">
        <v>1</v>
      </c>
      <c r="J229" s="8"/>
      <c r="K229" s="8"/>
      <c r="L229" s="8"/>
      <c r="M229" s="8"/>
      <c r="N229" s="8"/>
      <c r="O229" s="8"/>
      <c r="P229" s="60"/>
      <c r="Q229" s="46"/>
      <c r="R229" s="38"/>
      <c r="S229" s="8"/>
      <c r="T229" s="8"/>
      <c r="U229" s="8"/>
      <c r="V229" s="8"/>
      <c r="W229" s="8"/>
      <c r="X229" s="8"/>
      <c r="Y229" s="8"/>
      <c r="Z229" s="503"/>
      <c r="AA229" s="8"/>
    </row>
    <row r="230" spans="1:27" s="26" customFormat="1" ht="28.5" hidden="1" customHeight="1">
      <c r="A230" s="8" t="s">
        <v>18</v>
      </c>
      <c r="B230" s="29" t="s">
        <v>195</v>
      </c>
      <c r="C230" s="8" t="s">
        <v>678</v>
      </c>
      <c r="D230" s="8" t="s">
        <v>683</v>
      </c>
      <c r="E230" s="69" t="s">
        <v>684</v>
      </c>
      <c r="F230" s="8"/>
      <c r="G230" s="8" t="s">
        <v>62</v>
      </c>
      <c r="H230" s="8" t="s">
        <v>685</v>
      </c>
      <c r="I230" s="9">
        <v>1</v>
      </c>
      <c r="J230" s="8"/>
      <c r="K230" s="8"/>
      <c r="L230" s="8"/>
      <c r="M230" s="8"/>
      <c r="N230" s="8"/>
      <c r="O230" s="8"/>
      <c r="P230" s="60"/>
      <c r="Q230" s="46"/>
      <c r="R230" s="38"/>
      <c r="S230" s="8"/>
      <c r="T230" s="8"/>
      <c r="U230" s="8"/>
      <c r="V230" s="8"/>
      <c r="W230" s="8"/>
      <c r="X230" s="8"/>
      <c r="Y230" s="8"/>
      <c r="Z230" s="503"/>
      <c r="AA230" s="8"/>
    </row>
    <row r="231" spans="1:27" s="26" customFormat="1" ht="28.5" hidden="1" customHeight="1">
      <c r="A231" s="8" t="s">
        <v>18</v>
      </c>
      <c r="B231" s="29" t="s">
        <v>195</v>
      </c>
      <c r="C231" s="8" t="s">
        <v>686</v>
      </c>
      <c r="D231" s="8" t="s">
        <v>687</v>
      </c>
      <c r="E231" s="8" t="s">
        <v>688</v>
      </c>
      <c r="F231" s="8"/>
      <c r="G231" s="8" t="s">
        <v>62</v>
      </c>
      <c r="H231" s="8" t="s">
        <v>259</v>
      </c>
      <c r="I231" s="8" t="s">
        <v>210</v>
      </c>
      <c r="J231" s="8"/>
      <c r="K231" s="8"/>
      <c r="L231" s="8"/>
      <c r="M231" s="8"/>
      <c r="N231" s="8"/>
      <c r="O231" s="8"/>
      <c r="P231" s="60"/>
      <c r="Q231" s="46"/>
      <c r="R231" s="38"/>
      <c r="S231" s="8"/>
      <c r="T231" s="8"/>
      <c r="U231" s="8"/>
      <c r="V231" s="8"/>
      <c r="W231" s="8"/>
      <c r="X231" s="8"/>
      <c r="Y231" s="8"/>
      <c r="Z231" s="503"/>
      <c r="AA231" s="8"/>
    </row>
    <row r="232" spans="1:27" s="26" customFormat="1" ht="28.5" customHeight="1">
      <c r="A232" s="8" t="s">
        <v>18</v>
      </c>
      <c r="B232" s="29" t="s">
        <v>274</v>
      </c>
      <c r="C232" s="8" t="s">
        <v>689</v>
      </c>
      <c r="D232" s="8" t="s">
        <v>690</v>
      </c>
      <c r="E232" s="8" t="s">
        <v>691</v>
      </c>
      <c r="F232" s="8"/>
      <c r="G232" s="8" t="s">
        <v>62</v>
      </c>
      <c r="H232" s="8" t="s">
        <v>692</v>
      </c>
      <c r="I232" s="9">
        <v>1</v>
      </c>
      <c r="J232" s="8"/>
      <c r="K232" s="8"/>
      <c r="L232" s="8"/>
      <c r="M232" s="8"/>
      <c r="N232" s="8"/>
      <c r="O232" s="8"/>
      <c r="P232" s="60"/>
      <c r="Q232" s="46"/>
      <c r="R232" s="38" t="s">
        <v>1460</v>
      </c>
      <c r="S232" s="8" t="s">
        <v>1461</v>
      </c>
      <c r="T232" s="8" t="s">
        <v>1462</v>
      </c>
      <c r="U232" s="8" t="s">
        <v>1357</v>
      </c>
      <c r="V232" s="8" t="s">
        <v>1191</v>
      </c>
      <c r="W232" s="8">
        <v>2023</v>
      </c>
      <c r="X232" s="8" t="s">
        <v>9</v>
      </c>
      <c r="Y232" s="8" t="s">
        <v>1463</v>
      </c>
      <c r="Z232" s="503">
        <v>0</v>
      </c>
      <c r="AA232" s="8" t="s">
        <v>1464</v>
      </c>
    </row>
    <row r="233" spans="1:27" s="26" customFormat="1" ht="28.5" customHeight="1">
      <c r="A233" s="8" t="s">
        <v>18</v>
      </c>
      <c r="B233" s="29" t="s">
        <v>274</v>
      </c>
      <c r="C233" s="8" t="s">
        <v>693</v>
      </c>
      <c r="D233" s="8" t="s">
        <v>694</v>
      </c>
      <c r="E233" s="8" t="s">
        <v>695</v>
      </c>
      <c r="F233" s="8"/>
      <c r="G233" s="8" t="s">
        <v>62</v>
      </c>
      <c r="H233" s="8" t="s">
        <v>696</v>
      </c>
      <c r="I233" s="8" t="s">
        <v>697</v>
      </c>
      <c r="J233" s="8"/>
      <c r="K233" s="8"/>
      <c r="L233" s="8"/>
      <c r="M233" s="8"/>
      <c r="N233" s="8"/>
      <c r="O233" s="8"/>
      <c r="P233" s="60"/>
      <c r="Q233" s="46"/>
      <c r="R233" s="38" t="s">
        <v>1508</v>
      </c>
      <c r="S233" s="8" t="s">
        <v>1485</v>
      </c>
      <c r="T233" s="8" t="s">
        <v>1509</v>
      </c>
      <c r="U233" s="8" t="s">
        <v>1369</v>
      </c>
      <c r="V233" s="8" t="s">
        <v>8</v>
      </c>
      <c r="W233" s="8">
        <v>2025</v>
      </c>
      <c r="X233" s="8" t="s">
        <v>10</v>
      </c>
      <c r="Y233" s="8" t="s">
        <v>1501</v>
      </c>
      <c r="Z233" s="503">
        <v>0</v>
      </c>
      <c r="AA233" s="8" t="s">
        <v>1487</v>
      </c>
    </row>
    <row r="234" spans="1:27" s="26" customFormat="1" ht="28.5" customHeight="1">
      <c r="A234" s="8" t="s">
        <v>18</v>
      </c>
      <c r="B234" s="29" t="s">
        <v>274</v>
      </c>
      <c r="C234" s="8" t="s">
        <v>693</v>
      </c>
      <c r="D234" s="8" t="s">
        <v>698</v>
      </c>
      <c r="E234" s="8" t="s">
        <v>699</v>
      </c>
      <c r="F234" s="8"/>
      <c r="G234" s="8" t="s">
        <v>62</v>
      </c>
      <c r="H234" s="8" t="s">
        <v>700</v>
      </c>
      <c r="I234" s="8" t="s">
        <v>701</v>
      </c>
      <c r="J234" s="8"/>
      <c r="K234" s="8"/>
      <c r="L234" s="8"/>
      <c r="M234" s="8"/>
      <c r="N234" s="8"/>
      <c r="O234" s="8"/>
      <c r="P234" s="60"/>
      <c r="Q234" s="46"/>
      <c r="R234" s="38" t="s">
        <v>1508</v>
      </c>
      <c r="S234" s="8" t="s">
        <v>1485</v>
      </c>
      <c r="T234" s="8" t="s">
        <v>1509</v>
      </c>
      <c r="U234" s="8" t="s">
        <v>1369</v>
      </c>
      <c r="V234" s="8" t="s">
        <v>8</v>
      </c>
      <c r="W234" s="8">
        <v>2025</v>
      </c>
      <c r="X234" s="8" t="s">
        <v>10</v>
      </c>
      <c r="Y234" s="8" t="s">
        <v>1501</v>
      </c>
      <c r="Z234" s="503">
        <v>0</v>
      </c>
      <c r="AA234" s="8" t="s">
        <v>1487</v>
      </c>
    </row>
    <row r="235" spans="1:27" s="26" customFormat="1" ht="28.5" customHeight="1">
      <c r="A235" s="8" t="s">
        <v>18</v>
      </c>
      <c r="B235" s="29" t="s">
        <v>274</v>
      </c>
      <c r="C235" s="8" t="s">
        <v>693</v>
      </c>
      <c r="D235" s="8" t="s">
        <v>702</v>
      </c>
      <c r="E235" s="8" t="s">
        <v>579</v>
      </c>
      <c r="F235" s="8"/>
      <c r="G235" s="8" t="s">
        <v>62</v>
      </c>
      <c r="H235" s="8" t="s">
        <v>703</v>
      </c>
      <c r="I235" s="8" t="s">
        <v>701</v>
      </c>
      <c r="J235" s="8"/>
      <c r="K235" s="8"/>
      <c r="L235" s="8"/>
      <c r="M235" s="8"/>
      <c r="N235" s="8"/>
      <c r="O235" s="8"/>
      <c r="P235" s="60"/>
      <c r="Q235" s="46"/>
      <c r="R235" s="38" t="s">
        <v>1508</v>
      </c>
      <c r="S235" s="8" t="s">
        <v>1485</v>
      </c>
      <c r="T235" s="8" t="s">
        <v>1509</v>
      </c>
      <c r="U235" s="8" t="s">
        <v>1369</v>
      </c>
      <c r="V235" s="8" t="s">
        <v>8</v>
      </c>
      <c r="W235" s="8">
        <v>2025</v>
      </c>
      <c r="X235" s="8" t="s">
        <v>10</v>
      </c>
      <c r="Y235" s="8" t="s">
        <v>1501</v>
      </c>
      <c r="Z235" s="503">
        <v>0</v>
      </c>
      <c r="AA235" s="8" t="s">
        <v>1487</v>
      </c>
    </row>
    <row r="236" spans="1:27" s="26" customFormat="1" ht="47.25">
      <c r="A236" s="20" t="s">
        <v>18</v>
      </c>
      <c r="B236" s="30" t="s">
        <v>274</v>
      </c>
      <c r="C236" s="19" t="s">
        <v>704</v>
      </c>
      <c r="D236" s="19" t="s">
        <v>582</v>
      </c>
      <c r="E236" s="19" t="s">
        <v>582</v>
      </c>
      <c r="F236" s="19" t="s">
        <v>582</v>
      </c>
      <c r="G236" s="19" t="s">
        <v>582</v>
      </c>
      <c r="H236" s="19" t="s">
        <v>582</v>
      </c>
      <c r="I236" s="19" t="s">
        <v>582</v>
      </c>
      <c r="J236" s="19" t="s">
        <v>582</v>
      </c>
      <c r="K236" s="19" t="s">
        <v>582</v>
      </c>
      <c r="L236" s="19" t="s">
        <v>582</v>
      </c>
      <c r="M236" s="19" t="s">
        <v>582</v>
      </c>
      <c r="N236" s="19" t="s">
        <v>582</v>
      </c>
      <c r="O236" s="19" t="s">
        <v>582</v>
      </c>
      <c r="P236" s="19" t="s">
        <v>582</v>
      </c>
      <c r="Q236" s="48"/>
      <c r="R236" s="44" t="s">
        <v>582</v>
      </c>
      <c r="S236" s="19" t="s">
        <v>582</v>
      </c>
      <c r="T236" s="19" t="s">
        <v>582</v>
      </c>
      <c r="U236" s="19"/>
      <c r="V236" s="19" t="s">
        <v>582</v>
      </c>
      <c r="W236" s="19" t="s">
        <v>582</v>
      </c>
      <c r="X236" s="19" t="s">
        <v>582</v>
      </c>
      <c r="Y236" s="19" t="s">
        <v>582</v>
      </c>
      <c r="Z236" s="19" t="s">
        <v>582</v>
      </c>
      <c r="AA236" s="19" t="s">
        <v>582</v>
      </c>
    </row>
    <row r="237" spans="1:27" s="26" customFormat="1" ht="28.5" hidden="1" customHeight="1">
      <c r="A237" s="8" t="s">
        <v>18</v>
      </c>
      <c r="B237" s="29" t="s">
        <v>274</v>
      </c>
      <c r="C237" s="8" t="s">
        <v>705</v>
      </c>
      <c r="D237" s="8" t="s">
        <v>706</v>
      </c>
      <c r="E237" s="8" t="s">
        <v>707</v>
      </c>
      <c r="F237" s="8"/>
      <c r="G237" s="8" t="s">
        <v>62</v>
      </c>
      <c r="H237" s="8" t="s">
        <v>708</v>
      </c>
      <c r="I237" s="9">
        <v>1</v>
      </c>
      <c r="J237" s="8"/>
      <c r="K237" s="8"/>
      <c r="L237" s="8"/>
      <c r="M237" s="8"/>
      <c r="N237" s="8"/>
      <c r="O237" s="8"/>
      <c r="P237" s="60"/>
      <c r="Q237" s="46"/>
      <c r="R237" s="38"/>
      <c r="S237" s="8"/>
      <c r="T237" s="8"/>
      <c r="U237" s="8"/>
      <c r="V237" s="8"/>
      <c r="W237" s="8"/>
      <c r="X237" s="8"/>
      <c r="Y237" s="8"/>
      <c r="Z237" s="503"/>
      <c r="AA237" s="8"/>
    </row>
    <row r="238" spans="1:27" s="26" customFormat="1" ht="28.5" hidden="1" customHeight="1">
      <c r="A238" s="8" t="s">
        <v>18</v>
      </c>
      <c r="B238" s="29" t="s">
        <v>274</v>
      </c>
      <c r="C238" s="8" t="s">
        <v>705</v>
      </c>
      <c r="D238" s="8" t="s">
        <v>709</v>
      </c>
      <c r="E238" s="8" t="s">
        <v>710</v>
      </c>
      <c r="F238" s="8"/>
      <c r="G238" s="8" t="s">
        <v>62</v>
      </c>
      <c r="H238" s="8" t="s">
        <v>711</v>
      </c>
      <c r="I238" s="9">
        <v>1</v>
      </c>
      <c r="J238" s="8"/>
      <c r="K238" s="8"/>
      <c r="L238" s="8"/>
      <c r="M238" s="8"/>
      <c r="N238" s="8"/>
      <c r="O238" s="8"/>
      <c r="P238" s="60"/>
      <c r="Q238" s="46"/>
      <c r="R238" s="38"/>
      <c r="S238" s="8"/>
      <c r="T238" s="8"/>
      <c r="U238" s="8"/>
      <c r="V238" s="8"/>
      <c r="W238" s="8"/>
      <c r="X238" s="8"/>
      <c r="Y238" s="8"/>
      <c r="Z238" s="503"/>
      <c r="AA238" s="8"/>
    </row>
    <row r="239" spans="1:27" s="26" customFormat="1" ht="28.5" hidden="1" customHeight="1">
      <c r="A239" s="8" t="s">
        <v>18</v>
      </c>
      <c r="B239" s="29" t="s">
        <v>274</v>
      </c>
      <c r="C239" s="8" t="s">
        <v>705</v>
      </c>
      <c r="D239" s="8" t="s">
        <v>712</v>
      </c>
      <c r="E239" s="8" t="s">
        <v>713</v>
      </c>
      <c r="F239" s="8"/>
      <c r="G239" s="8" t="s">
        <v>62</v>
      </c>
      <c r="H239" s="8" t="s">
        <v>714</v>
      </c>
      <c r="I239" s="9">
        <v>1</v>
      </c>
      <c r="J239" s="8"/>
      <c r="K239" s="8"/>
      <c r="L239" s="8"/>
      <c r="M239" s="8"/>
      <c r="N239" s="8"/>
      <c r="O239" s="8"/>
      <c r="P239" s="60"/>
      <c r="Q239" s="46"/>
      <c r="R239" s="38"/>
      <c r="S239" s="8"/>
      <c r="T239" s="8"/>
      <c r="U239" s="8"/>
      <c r="V239" s="8"/>
      <c r="W239" s="8"/>
      <c r="X239" s="8"/>
      <c r="Y239" s="8"/>
      <c r="Z239" s="503"/>
      <c r="AA239" s="8"/>
    </row>
    <row r="240" spans="1:27" s="26" customFormat="1" ht="28.5" customHeight="1">
      <c r="A240" s="8" t="s">
        <v>18</v>
      </c>
      <c r="B240" s="29" t="s">
        <v>587</v>
      </c>
      <c r="C240" s="8" t="s">
        <v>715</v>
      </c>
      <c r="D240" s="8" t="s">
        <v>716</v>
      </c>
      <c r="E240" s="8" t="s">
        <v>717</v>
      </c>
      <c r="F240" s="8"/>
      <c r="G240" s="8" t="s">
        <v>62</v>
      </c>
      <c r="H240" s="8" t="s">
        <v>591</v>
      </c>
      <c r="I240" s="9">
        <v>1</v>
      </c>
      <c r="J240" s="8"/>
      <c r="K240" s="8"/>
      <c r="L240" s="8"/>
      <c r="M240" s="8"/>
      <c r="N240" s="8"/>
      <c r="O240" s="8"/>
      <c r="P240" s="60"/>
      <c r="Q240" s="46"/>
      <c r="R240" s="38" t="s">
        <v>1506</v>
      </c>
      <c r="S240" s="8" t="s">
        <v>1485</v>
      </c>
      <c r="T240" s="8" t="s">
        <v>1507</v>
      </c>
      <c r="U240" s="8" t="s">
        <v>1369</v>
      </c>
      <c r="V240" s="8" t="s">
        <v>8</v>
      </c>
      <c r="W240" s="8">
        <v>2025</v>
      </c>
      <c r="X240" s="8" t="s">
        <v>10</v>
      </c>
      <c r="Y240" s="8" t="s">
        <v>1501</v>
      </c>
      <c r="Z240" s="503">
        <v>0</v>
      </c>
      <c r="AA240" s="8" t="s">
        <v>1487</v>
      </c>
    </row>
    <row r="241" spans="1:27" s="26" customFormat="1" ht="28.5" hidden="1" customHeight="1">
      <c r="A241" s="8" t="s">
        <v>18</v>
      </c>
      <c r="B241" s="29" t="s">
        <v>587</v>
      </c>
      <c r="C241" s="8" t="s">
        <v>715</v>
      </c>
      <c r="D241" s="8" t="s">
        <v>718</v>
      </c>
      <c r="E241" s="8" t="s">
        <v>719</v>
      </c>
      <c r="F241" s="8"/>
      <c r="G241" s="20" t="s">
        <v>62</v>
      </c>
      <c r="H241" s="20" t="s">
        <v>352</v>
      </c>
      <c r="I241" s="22">
        <v>1</v>
      </c>
      <c r="J241" s="20"/>
      <c r="K241" s="20"/>
      <c r="L241" s="20"/>
      <c r="M241" s="20"/>
      <c r="N241" s="20"/>
      <c r="O241" s="20"/>
      <c r="P241" s="20"/>
      <c r="Q241" s="46"/>
      <c r="R241" s="39"/>
      <c r="S241" s="20"/>
      <c r="T241" s="20"/>
      <c r="U241" s="20"/>
      <c r="V241" s="20"/>
      <c r="W241" s="20"/>
      <c r="X241" s="20"/>
      <c r="Y241" s="20"/>
      <c r="Z241" s="504"/>
      <c r="AA241" s="20"/>
    </row>
    <row r="242" spans="1:27" s="26" customFormat="1" ht="28.5" customHeight="1">
      <c r="A242" s="8" t="s">
        <v>18</v>
      </c>
      <c r="B242" s="29" t="s">
        <v>587</v>
      </c>
      <c r="C242" s="8" t="s">
        <v>715</v>
      </c>
      <c r="D242" s="8" t="s">
        <v>720</v>
      </c>
      <c r="E242" s="69" t="s">
        <v>594</v>
      </c>
      <c r="F242" s="8"/>
      <c r="G242" s="8" t="s">
        <v>62</v>
      </c>
      <c r="H242" s="8" t="s">
        <v>352</v>
      </c>
      <c r="I242" s="9">
        <v>1</v>
      </c>
      <c r="J242" s="8"/>
      <c r="K242" s="8"/>
      <c r="L242" s="8"/>
      <c r="M242" s="8"/>
      <c r="N242" s="8"/>
      <c r="O242" s="8"/>
      <c r="P242" s="60"/>
      <c r="Q242" s="46"/>
      <c r="R242" s="38" t="s">
        <v>1506</v>
      </c>
      <c r="S242" s="8" t="s">
        <v>1485</v>
      </c>
      <c r="T242" s="8" t="s">
        <v>1507</v>
      </c>
      <c r="U242" s="8" t="s">
        <v>1369</v>
      </c>
      <c r="V242" s="8" t="s">
        <v>8</v>
      </c>
      <c r="W242" s="8">
        <v>2025</v>
      </c>
      <c r="X242" s="8" t="s">
        <v>10</v>
      </c>
      <c r="Y242" s="8" t="s">
        <v>1501</v>
      </c>
      <c r="Z242" s="503">
        <v>0</v>
      </c>
      <c r="AA242" s="8" t="s">
        <v>1487</v>
      </c>
    </row>
    <row r="243" spans="1:27" s="26" customFormat="1" ht="28.5" customHeight="1">
      <c r="A243" s="8" t="s">
        <v>18</v>
      </c>
      <c r="B243" s="29" t="s">
        <v>587</v>
      </c>
      <c r="C243" s="8" t="s">
        <v>715</v>
      </c>
      <c r="D243" s="8" t="s">
        <v>721</v>
      </c>
      <c r="E243" s="69" t="s">
        <v>722</v>
      </c>
      <c r="F243" s="8"/>
      <c r="G243" s="8" t="s">
        <v>62</v>
      </c>
      <c r="H243" s="8" t="s">
        <v>352</v>
      </c>
      <c r="I243" s="9">
        <v>1</v>
      </c>
      <c r="J243" s="8"/>
      <c r="K243" s="8"/>
      <c r="L243" s="8"/>
      <c r="M243" s="8"/>
      <c r="N243" s="8"/>
      <c r="O243" s="8"/>
      <c r="P243" s="60"/>
      <c r="Q243" s="46"/>
      <c r="R243" s="38" t="s">
        <v>1506</v>
      </c>
      <c r="S243" s="8" t="s">
        <v>1485</v>
      </c>
      <c r="T243" s="8" t="s">
        <v>1507</v>
      </c>
      <c r="U243" s="8" t="s">
        <v>1369</v>
      </c>
      <c r="V243" s="8" t="s">
        <v>8</v>
      </c>
      <c r="W243" s="8">
        <v>2025</v>
      </c>
      <c r="X243" s="8" t="s">
        <v>10</v>
      </c>
      <c r="Y243" s="8" t="s">
        <v>1501</v>
      </c>
      <c r="Z243" s="503">
        <v>0</v>
      </c>
      <c r="AA243" s="8" t="s">
        <v>1487</v>
      </c>
    </row>
    <row r="244" spans="1:27" s="26" customFormat="1" ht="28.5" customHeight="1">
      <c r="A244" s="8" t="s">
        <v>18</v>
      </c>
      <c r="B244" s="29" t="s">
        <v>587</v>
      </c>
      <c r="C244" s="8" t="s">
        <v>715</v>
      </c>
      <c r="D244" s="8" t="s">
        <v>723</v>
      </c>
      <c r="E244" s="69" t="s">
        <v>596</v>
      </c>
      <c r="F244" s="8"/>
      <c r="G244" s="8" t="s">
        <v>62</v>
      </c>
      <c r="H244" s="8" t="s">
        <v>352</v>
      </c>
      <c r="I244" s="9">
        <v>1</v>
      </c>
      <c r="J244" s="8"/>
      <c r="K244" s="8"/>
      <c r="L244" s="8"/>
      <c r="M244" s="8"/>
      <c r="N244" s="8"/>
      <c r="O244" s="8"/>
      <c r="P244" s="60"/>
      <c r="Q244" s="46"/>
      <c r="R244" s="38" t="s">
        <v>1506</v>
      </c>
      <c r="S244" s="8" t="s">
        <v>1485</v>
      </c>
      <c r="T244" s="8" t="s">
        <v>1507</v>
      </c>
      <c r="U244" s="8" t="s">
        <v>1369</v>
      </c>
      <c r="V244" s="8" t="s">
        <v>8</v>
      </c>
      <c r="W244" s="8">
        <v>2025</v>
      </c>
      <c r="X244" s="8" t="s">
        <v>10</v>
      </c>
      <c r="Y244" s="8" t="s">
        <v>1501</v>
      </c>
      <c r="Z244" s="503">
        <v>0</v>
      </c>
      <c r="AA244" s="8" t="s">
        <v>1487</v>
      </c>
    </row>
    <row r="245" spans="1:27" s="26" customFormat="1" ht="28.5" customHeight="1">
      <c r="A245" s="8" t="s">
        <v>18</v>
      </c>
      <c r="B245" s="29" t="s">
        <v>587</v>
      </c>
      <c r="C245" s="8" t="s">
        <v>715</v>
      </c>
      <c r="D245" s="8" t="s">
        <v>724</v>
      </c>
      <c r="E245" s="69" t="s">
        <v>597</v>
      </c>
      <c r="F245" s="8"/>
      <c r="G245" s="8" t="s">
        <v>62</v>
      </c>
      <c r="H245" s="8" t="s">
        <v>352</v>
      </c>
      <c r="I245" s="9">
        <v>1</v>
      </c>
      <c r="J245" s="8"/>
      <c r="K245" s="8"/>
      <c r="L245" s="8"/>
      <c r="M245" s="8"/>
      <c r="N245" s="8"/>
      <c r="O245" s="8"/>
      <c r="P245" s="60"/>
      <c r="Q245" s="46"/>
      <c r="R245" s="38" t="s">
        <v>1506</v>
      </c>
      <c r="S245" s="8" t="s">
        <v>1485</v>
      </c>
      <c r="T245" s="8" t="s">
        <v>1507</v>
      </c>
      <c r="U245" s="8" t="s">
        <v>1369</v>
      </c>
      <c r="V245" s="8" t="s">
        <v>8</v>
      </c>
      <c r="W245" s="8">
        <v>2025</v>
      </c>
      <c r="X245" s="8" t="s">
        <v>10</v>
      </c>
      <c r="Y245" s="8" t="s">
        <v>1501</v>
      </c>
      <c r="Z245" s="503">
        <v>0</v>
      </c>
      <c r="AA245" s="8" t="s">
        <v>1487</v>
      </c>
    </row>
    <row r="246" spans="1:27" s="26" customFormat="1" ht="28.5" customHeight="1">
      <c r="A246" s="8" t="s">
        <v>18</v>
      </c>
      <c r="B246" s="29" t="s">
        <v>587</v>
      </c>
      <c r="C246" s="8" t="s">
        <v>715</v>
      </c>
      <c r="D246" s="8" t="s">
        <v>725</v>
      </c>
      <c r="E246" s="69" t="s">
        <v>599</v>
      </c>
      <c r="F246" s="8"/>
      <c r="G246" s="8" t="s">
        <v>62</v>
      </c>
      <c r="H246" s="8" t="s">
        <v>352</v>
      </c>
      <c r="I246" s="9">
        <v>1</v>
      </c>
      <c r="J246" s="8"/>
      <c r="K246" s="8"/>
      <c r="L246" s="8"/>
      <c r="M246" s="8"/>
      <c r="N246" s="8"/>
      <c r="O246" s="8"/>
      <c r="P246" s="60"/>
      <c r="Q246" s="46"/>
      <c r="R246" s="38" t="s">
        <v>1506</v>
      </c>
      <c r="S246" s="8" t="s">
        <v>1485</v>
      </c>
      <c r="T246" s="8" t="s">
        <v>1507</v>
      </c>
      <c r="U246" s="8" t="s">
        <v>1369</v>
      </c>
      <c r="V246" s="8" t="s">
        <v>8</v>
      </c>
      <c r="W246" s="8">
        <v>2025</v>
      </c>
      <c r="X246" s="8" t="s">
        <v>10</v>
      </c>
      <c r="Y246" s="8" t="s">
        <v>1501</v>
      </c>
      <c r="Z246" s="503">
        <v>0</v>
      </c>
      <c r="AA246" s="8" t="s">
        <v>1487</v>
      </c>
    </row>
    <row r="247" spans="1:27" s="26" customFormat="1" ht="28.5" customHeight="1">
      <c r="A247" s="8" t="s">
        <v>18</v>
      </c>
      <c r="B247" s="29" t="s">
        <v>587</v>
      </c>
      <c r="C247" s="8" t="s">
        <v>715</v>
      </c>
      <c r="D247" s="8" t="s">
        <v>726</v>
      </c>
      <c r="E247" s="69" t="s">
        <v>727</v>
      </c>
      <c r="F247" s="8"/>
      <c r="G247" s="8" t="s">
        <v>62</v>
      </c>
      <c r="H247" s="8" t="s">
        <v>352</v>
      </c>
      <c r="I247" s="9">
        <v>1</v>
      </c>
      <c r="J247" s="8"/>
      <c r="K247" s="8"/>
      <c r="L247" s="8"/>
      <c r="M247" s="8"/>
      <c r="N247" s="8"/>
      <c r="O247" s="8"/>
      <c r="P247" s="60"/>
      <c r="Q247" s="46"/>
      <c r="R247" s="38" t="s">
        <v>1506</v>
      </c>
      <c r="S247" s="8" t="s">
        <v>1485</v>
      </c>
      <c r="T247" s="8" t="s">
        <v>1507</v>
      </c>
      <c r="U247" s="8" t="s">
        <v>1369</v>
      </c>
      <c r="V247" s="8" t="s">
        <v>8</v>
      </c>
      <c r="W247" s="8">
        <v>2025</v>
      </c>
      <c r="X247" s="8" t="s">
        <v>10</v>
      </c>
      <c r="Y247" s="8" t="s">
        <v>1501</v>
      </c>
      <c r="Z247" s="503">
        <v>0</v>
      </c>
      <c r="AA247" s="8" t="s">
        <v>1487</v>
      </c>
    </row>
    <row r="248" spans="1:27" s="26" customFormat="1" ht="28.5" customHeight="1">
      <c r="A248" s="8" t="s">
        <v>18</v>
      </c>
      <c r="B248" s="29" t="s">
        <v>587</v>
      </c>
      <c r="C248" s="8" t="s">
        <v>715</v>
      </c>
      <c r="D248" s="8" t="s">
        <v>728</v>
      </c>
      <c r="E248" s="69" t="s">
        <v>729</v>
      </c>
      <c r="F248" s="8"/>
      <c r="G248" s="8" t="s">
        <v>62</v>
      </c>
      <c r="H248" s="8" t="s">
        <v>352</v>
      </c>
      <c r="I248" s="9">
        <v>1</v>
      </c>
      <c r="J248" s="8"/>
      <c r="K248" s="8"/>
      <c r="L248" s="8"/>
      <c r="M248" s="8"/>
      <c r="N248" s="8"/>
      <c r="O248" s="8"/>
      <c r="P248" s="60"/>
      <c r="Q248" s="46"/>
      <c r="R248" s="38" t="s">
        <v>1506</v>
      </c>
      <c r="S248" s="8" t="s">
        <v>1485</v>
      </c>
      <c r="T248" s="8" t="s">
        <v>1507</v>
      </c>
      <c r="U248" s="8" t="s">
        <v>1369</v>
      </c>
      <c r="V248" s="8" t="s">
        <v>8</v>
      </c>
      <c r="W248" s="8">
        <v>2025</v>
      </c>
      <c r="X248" s="8" t="s">
        <v>10</v>
      </c>
      <c r="Y248" s="8" t="s">
        <v>1501</v>
      </c>
      <c r="Z248" s="503">
        <v>0</v>
      </c>
      <c r="AA248" s="8" t="s">
        <v>1487</v>
      </c>
    </row>
    <row r="249" spans="1:27" s="26" customFormat="1" ht="28.5" customHeight="1">
      <c r="A249" s="8" t="s">
        <v>18</v>
      </c>
      <c r="B249" s="29" t="s">
        <v>587</v>
      </c>
      <c r="C249" s="8" t="s">
        <v>715</v>
      </c>
      <c r="D249" s="8" t="s">
        <v>730</v>
      </c>
      <c r="E249" s="69" t="s">
        <v>731</v>
      </c>
      <c r="F249" s="8"/>
      <c r="G249" s="8" t="s">
        <v>62</v>
      </c>
      <c r="H249" s="8" t="s">
        <v>352</v>
      </c>
      <c r="I249" s="9">
        <v>1</v>
      </c>
      <c r="J249" s="8"/>
      <c r="K249" s="8"/>
      <c r="L249" s="8"/>
      <c r="M249" s="8"/>
      <c r="N249" s="8"/>
      <c r="O249" s="8"/>
      <c r="P249" s="60"/>
      <c r="Q249" s="46"/>
      <c r="R249" s="38" t="s">
        <v>1506</v>
      </c>
      <c r="S249" s="8" t="s">
        <v>1485</v>
      </c>
      <c r="T249" s="8" t="s">
        <v>1507</v>
      </c>
      <c r="U249" s="8" t="s">
        <v>1369</v>
      </c>
      <c r="V249" s="8" t="s">
        <v>8</v>
      </c>
      <c r="W249" s="8">
        <v>2025</v>
      </c>
      <c r="X249" s="8" t="s">
        <v>10</v>
      </c>
      <c r="Y249" s="8" t="s">
        <v>1501</v>
      </c>
      <c r="Z249" s="503">
        <v>0</v>
      </c>
      <c r="AA249" s="8" t="s">
        <v>1487</v>
      </c>
    </row>
    <row r="250" spans="1:27" s="26" customFormat="1" ht="28.5" customHeight="1">
      <c r="A250" s="8" t="s">
        <v>18</v>
      </c>
      <c r="B250" s="29" t="s">
        <v>587</v>
      </c>
      <c r="C250" s="8" t="s">
        <v>732</v>
      </c>
      <c r="D250" s="8" t="s">
        <v>733</v>
      </c>
      <c r="E250" s="8" t="s">
        <v>734</v>
      </c>
      <c r="F250" s="8"/>
      <c r="G250" s="8" t="s">
        <v>71</v>
      </c>
      <c r="H250" s="8" t="s">
        <v>735</v>
      </c>
      <c r="I250" s="9">
        <v>1</v>
      </c>
      <c r="J250" s="8"/>
      <c r="K250" s="8"/>
      <c r="L250" s="8"/>
      <c r="M250" s="8"/>
      <c r="N250" s="8"/>
      <c r="O250" s="8"/>
      <c r="P250" s="60"/>
      <c r="Q250" s="46"/>
      <c r="R250" s="38" t="s">
        <v>1506</v>
      </c>
      <c r="S250" s="8" t="s">
        <v>1485</v>
      </c>
      <c r="T250" s="8" t="s">
        <v>1507</v>
      </c>
      <c r="U250" s="8" t="s">
        <v>1369</v>
      </c>
      <c r="V250" s="8" t="s">
        <v>8</v>
      </c>
      <c r="W250" s="8">
        <v>2025</v>
      </c>
      <c r="X250" s="8" t="s">
        <v>10</v>
      </c>
      <c r="Y250" s="8" t="s">
        <v>1501</v>
      </c>
      <c r="Z250" s="503">
        <v>0</v>
      </c>
      <c r="AA250" s="8" t="s">
        <v>1487</v>
      </c>
    </row>
    <row r="251" spans="1:27" s="26" customFormat="1" ht="56.25" hidden="1">
      <c r="A251" s="8" t="s">
        <v>18</v>
      </c>
      <c r="B251" s="29" t="s">
        <v>587</v>
      </c>
      <c r="C251" s="8" t="s">
        <v>732</v>
      </c>
      <c r="D251" s="8" t="s">
        <v>736</v>
      </c>
      <c r="E251" s="8" t="s">
        <v>734</v>
      </c>
      <c r="F251" s="8"/>
      <c r="G251" s="8" t="s">
        <v>58</v>
      </c>
      <c r="H251" s="8" t="s">
        <v>428</v>
      </c>
      <c r="I251" s="9">
        <v>1</v>
      </c>
      <c r="J251" s="8"/>
      <c r="K251" s="8"/>
      <c r="L251" s="8"/>
      <c r="M251" s="8"/>
      <c r="N251" s="8"/>
      <c r="O251" s="8"/>
      <c r="P251" s="60"/>
      <c r="Q251" s="46"/>
      <c r="R251" s="38"/>
      <c r="S251" s="8"/>
      <c r="T251" s="8"/>
      <c r="U251" s="8"/>
      <c r="V251" s="8"/>
      <c r="W251" s="8"/>
      <c r="X251" s="8"/>
      <c r="Y251" s="8"/>
      <c r="Z251" s="8"/>
      <c r="AA251" s="8"/>
    </row>
    <row r="252" spans="1:27" s="26" customFormat="1" ht="28.5" customHeight="1">
      <c r="A252" s="8" t="s">
        <v>18</v>
      </c>
      <c r="B252" s="29" t="s">
        <v>587</v>
      </c>
      <c r="C252" s="8" t="s">
        <v>737</v>
      </c>
      <c r="D252" s="8" t="s">
        <v>738</v>
      </c>
      <c r="E252" s="8" t="s">
        <v>739</v>
      </c>
      <c r="F252" s="8"/>
      <c r="G252" s="8" t="s">
        <v>62</v>
      </c>
      <c r="H252" s="8" t="s">
        <v>623</v>
      </c>
      <c r="I252" s="9">
        <v>1</v>
      </c>
      <c r="J252" s="8"/>
      <c r="K252" s="8"/>
      <c r="L252" s="8"/>
      <c r="M252" s="8"/>
      <c r="N252" s="8"/>
      <c r="O252" s="8"/>
      <c r="P252" s="60"/>
      <c r="Q252" s="46"/>
      <c r="R252" s="38" t="s">
        <v>1530</v>
      </c>
      <c r="S252" s="8" t="s">
        <v>1485</v>
      </c>
      <c r="T252" s="8" t="s">
        <v>1531</v>
      </c>
      <c r="U252" s="8" t="s">
        <v>1369</v>
      </c>
      <c r="V252" s="8" t="s">
        <v>8</v>
      </c>
      <c r="W252" s="8">
        <v>2025</v>
      </c>
      <c r="X252" s="8" t="s">
        <v>10</v>
      </c>
      <c r="Y252" s="8" t="s">
        <v>1532</v>
      </c>
      <c r="Z252" s="503">
        <v>0</v>
      </c>
      <c r="AA252" s="8" t="s">
        <v>1487</v>
      </c>
    </row>
    <row r="253" spans="1:27" s="26" customFormat="1" ht="28.5" hidden="1" customHeight="1">
      <c r="A253" s="8" t="s">
        <v>18</v>
      </c>
      <c r="B253" s="29" t="s">
        <v>587</v>
      </c>
      <c r="C253" s="8" t="s">
        <v>737</v>
      </c>
      <c r="D253" s="8" t="s">
        <v>740</v>
      </c>
      <c r="E253" s="8" t="s">
        <v>741</v>
      </c>
      <c r="F253" s="8"/>
      <c r="G253" s="8" t="s">
        <v>62</v>
      </c>
      <c r="H253" s="8" t="s">
        <v>742</v>
      </c>
      <c r="I253" s="9">
        <v>1</v>
      </c>
      <c r="J253" s="8"/>
      <c r="K253" s="8"/>
      <c r="L253" s="8"/>
      <c r="M253" s="8"/>
      <c r="N253" s="8"/>
      <c r="O253" s="8"/>
      <c r="P253" s="60"/>
      <c r="Q253" s="46"/>
      <c r="R253" s="38"/>
      <c r="S253" s="8"/>
      <c r="T253" s="8"/>
      <c r="U253" s="8"/>
      <c r="V253" s="8"/>
      <c r="W253" s="8"/>
      <c r="X253" s="8"/>
      <c r="Y253" s="8"/>
      <c r="Z253" s="503"/>
      <c r="AA253" s="8"/>
    </row>
    <row r="254" spans="1:27" s="26" customFormat="1" ht="28.5" hidden="1" customHeight="1">
      <c r="A254" s="8" t="s">
        <v>18</v>
      </c>
      <c r="B254" s="29" t="s">
        <v>587</v>
      </c>
      <c r="C254" s="8" t="s">
        <v>737</v>
      </c>
      <c r="D254" s="8" t="s">
        <v>743</v>
      </c>
      <c r="E254" s="8" t="s">
        <v>744</v>
      </c>
      <c r="F254" s="8"/>
      <c r="G254" s="8" t="s">
        <v>62</v>
      </c>
      <c r="H254" s="8" t="s">
        <v>745</v>
      </c>
      <c r="I254" s="9">
        <v>0.5</v>
      </c>
      <c r="J254" s="8"/>
      <c r="K254" s="8"/>
      <c r="L254" s="8"/>
      <c r="M254" s="8"/>
      <c r="N254" s="8"/>
      <c r="O254" s="8"/>
      <c r="P254" s="60"/>
      <c r="Q254" s="46"/>
      <c r="R254" s="38"/>
      <c r="S254" s="8"/>
      <c r="T254" s="8"/>
      <c r="U254" s="8"/>
      <c r="V254" s="8"/>
      <c r="W254" s="8"/>
      <c r="X254" s="8"/>
      <c r="Y254" s="8"/>
      <c r="Z254" s="503"/>
      <c r="AA254" s="8"/>
    </row>
    <row r="255" spans="1:27" s="26" customFormat="1" ht="28.5" customHeight="1">
      <c r="A255" s="8" t="s">
        <v>18</v>
      </c>
      <c r="B255" s="29" t="s">
        <v>587</v>
      </c>
      <c r="C255" s="8" t="s">
        <v>746</v>
      </c>
      <c r="D255" s="8" t="s">
        <v>747</v>
      </c>
      <c r="E255" s="8" t="s">
        <v>748</v>
      </c>
      <c r="F255" s="8"/>
      <c r="G255" s="8" t="s">
        <v>62</v>
      </c>
      <c r="H255" s="8" t="s">
        <v>749</v>
      </c>
      <c r="I255" s="9">
        <v>0.5</v>
      </c>
      <c r="J255" s="8"/>
      <c r="K255" s="8"/>
      <c r="L255" s="8"/>
      <c r="M255" s="8"/>
      <c r="N255" s="8"/>
      <c r="O255" s="8"/>
      <c r="P255" s="60"/>
      <c r="Q255" s="46"/>
      <c r="R255" s="38" t="s">
        <v>1533</v>
      </c>
      <c r="S255" s="8" t="s">
        <v>1485</v>
      </c>
      <c r="T255" s="8" t="s">
        <v>1534</v>
      </c>
      <c r="U255" s="8" t="s">
        <v>1369</v>
      </c>
      <c r="V255" s="8" t="s">
        <v>8</v>
      </c>
      <c r="W255" s="8">
        <v>2025</v>
      </c>
      <c r="X255" s="8" t="s">
        <v>10</v>
      </c>
      <c r="Y255" s="8" t="s">
        <v>1532</v>
      </c>
      <c r="Z255" s="503">
        <v>0</v>
      </c>
      <c r="AA255" s="8" t="s">
        <v>1487</v>
      </c>
    </row>
    <row r="256" spans="1:27" s="26" customFormat="1" ht="28.5" hidden="1" customHeight="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514"/>
      <c r="AA256" s="106"/>
    </row>
    <row r="257" spans="1:27" s="26" customFormat="1" ht="28.5" hidden="1" customHeight="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Q257" s="46"/>
      <c r="R257" s="39"/>
      <c r="S257" s="20"/>
      <c r="T257" s="20"/>
      <c r="U257" s="20"/>
      <c r="V257" s="20"/>
      <c r="W257" s="20"/>
      <c r="X257" s="20"/>
      <c r="Y257" s="20"/>
      <c r="Z257" s="504"/>
      <c r="AA257" s="20"/>
    </row>
    <row r="258" spans="1:27" s="26" customFormat="1" ht="28.5" hidden="1" customHeight="1">
      <c r="A258" s="8" t="s">
        <v>20</v>
      </c>
      <c r="B258" s="31" t="s">
        <v>54</v>
      </c>
      <c r="C258" s="18" t="s">
        <v>751</v>
      </c>
      <c r="D258" s="18" t="s">
        <v>755</v>
      </c>
      <c r="E258" s="69" t="s">
        <v>756</v>
      </c>
      <c r="F258" s="8"/>
      <c r="G258" s="18" t="s">
        <v>62</v>
      </c>
      <c r="H258" s="18" t="s">
        <v>754</v>
      </c>
      <c r="I258" s="18" t="s">
        <v>485</v>
      </c>
      <c r="J258" s="8"/>
      <c r="K258" s="8"/>
      <c r="L258" s="8"/>
      <c r="M258" s="8"/>
      <c r="N258" s="8"/>
      <c r="O258" s="8"/>
      <c r="P258" s="60"/>
      <c r="Q258" s="46"/>
      <c r="R258" s="38"/>
      <c r="S258" s="8"/>
      <c r="T258" s="8"/>
      <c r="U258" s="8"/>
      <c r="V258" s="8"/>
      <c r="W258" s="8"/>
      <c r="X258" s="8"/>
      <c r="Y258" s="8"/>
      <c r="Z258" s="503"/>
      <c r="AA258" s="8"/>
    </row>
    <row r="259" spans="1:27" s="26" customFormat="1" ht="28.5" hidden="1" customHeight="1">
      <c r="A259" s="8" t="s">
        <v>20</v>
      </c>
      <c r="B259" s="31" t="s">
        <v>54</v>
      </c>
      <c r="C259" s="18" t="s">
        <v>751</v>
      </c>
      <c r="D259" s="18" t="s">
        <v>757</v>
      </c>
      <c r="E259" s="69" t="s">
        <v>758</v>
      </c>
      <c r="F259" s="8"/>
      <c r="G259" s="18" t="s">
        <v>62</v>
      </c>
      <c r="H259" s="18" t="s">
        <v>754</v>
      </c>
      <c r="I259" s="18" t="s">
        <v>485</v>
      </c>
      <c r="J259" s="8"/>
      <c r="K259" s="8"/>
      <c r="L259" s="8"/>
      <c r="M259" s="8"/>
      <c r="N259" s="8"/>
      <c r="O259" s="8"/>
      <c r="P259" s="60"/>
      <c r="Q259" s="46"/>
      <c r="R259" s="38"/>
      <c r="S259" s="8"/>
      <c r="T259" s="8"/>
      <c r="U259" s="8"/>
      <c r="V259" s="8"/>
      <c r="W259" s="8"/>
      <c r="X259" s="8"/>
      <c r="Y259" s="8"/>
      <c r="Z259" s="503"/>
      <c r="AA259" s="8"/>
    </row>
    <row r="260" spans="1:27" s="26" customFormat="1" ht="28.5" hidden="1" customHeight="1">
      <c r="A260" s="8" t="s">
        <v>20</v>
      </c>
      <c r="B260" s="31" t="s">
        <v>54</v>
      </c>
      <c r="C260" s="18" t="s">
        <v>751</v>
      </c>
      <c r="D260" s="18" t="s">
        <v>759</v>
      </c>
      <c r="E260" s="69" t="s">
        <v>760</v>
      </c>
      <c r="F260" s="8"/>
      <c r="G260" s="18" t="s">
        <v>62</v>
      </c>
      <c r="H260" s="18" t="s">
        <v>754</v>
      </c>
      <c r="I260" s="18" t="s">
        <v>485</v>
      </c>
      <c r="J260" s="8"/>
      <c r="K260" s="8"/>
      <c r="L260" s="8"/>
      <c r="M260" s="8"/>
      <c r="N260" s="8"/>
      <c r="O260" s="8"/>
      <c r="P260" s="60"/>
      <c r="Q260" s="46"/>
      <c r="R260" s="38"/>
      <c r="S260" s="8"/>
      <c r="T260" s="8"/>
      <c r="U260" s="8"/>
      <c r="V260" s="8"/>
      <c r="W260" s="8"/>
      <c r="X260" s="8"/>
      <c r="Y260" s="8"/>
      <c r="Z260" s="503"/>
      <c r="AA260" s="8"/>
    </row>
    <row r="261" spans="1:27" s="26" customFormat="1" ht="28.5" hidden="1" customHeight="1">
      <c r="A261" s="8" t="s">
        <v>20</v>
      </c>
      <c r="B261" s="31" t="s">
        <v>54</v>
      </c>
      <c r="C261" s="18" t="s">
        <v>751</v>
      </c>
      <c r="D261" s="18" t="s">
        <v>761</v>
      </c>
      <c r="E261" s="69" t="s">
        <v>762</v>
      </c>
      <c r="F261" s="8"/>
      <c r="G261" s="18" t="s">
        <v>62</v>
      </c>
      <c r="H261" s="18" t="s">
        <v>754</v>
      </c>
      <c r="I261" s="18" t="s">
        <v>485</v>
      </c>
      <c r="J261" s="8"/>
      <c r="K261" s="8"/>
      <c r="L261" s="8"/>
      <c r="M261" s="8"/>
      <c r="N261" s="8"/>
      <c r="O261" s="8"/>
      <c r="P261" s="60"/>
      <c r="Q261" s="46"/>
      <c r="R261" s="38"/>
      <c r="S261" s="8"/>
      <c r="T261" s="8"/>
      <c r="U261" s="8"/>
      <c r="V261" s="8"/>
      <c r="W261" s="8"/>
      <c r="X261" s="8"/>
      <c r="Y261" s="8"/>
      <c r="Z261" s="503"/>
      <c r="AA261" s="8"/>
    </row>
    <row r="262" spans="1:27" s="26" customFormat="1" ht="28.5" hidden="1" customHeight="1">
      <c r="A262" s="8" t="s">
        <v>20</v>
      </c>
      <c r="B262" s="31" t="s">
        <v>54</v>
      </c>
      <c r="C262" s="18" t="s">
        <v>751</v>
      </c>
      <c r="D262" s="18" t="s">
        <v>763</v>
      </c>
      <c r="E262" s="69" t="s">
        <v>764</v>
      </c>
      <c r="F262" s="8"/>
      <c r="G262" s="18" t="s">
        <v>62</v>
      </c>
      <c r="H262" s="18" t="s">
        <v>754</v>
      </c>
      <c r="I262" s="18" t="s">
        <v>485</v>
      </c>
      <c r="J262" s="8"/>
      <c r="K262" s="8"/>
      <c r="L262" s="8"/>
      <c r="M262" s="8"/>
      <c r="N262" s="8"/>
      <c r="O262" s="8"/>
      <c r="P262" s="60"/>
      <c r="Q262" s="46"/>
      <c r="R262" s="38"/>
      <c r="S262" s="8"/>
      <c r="T262" s="8"/>
      <c r="U262" s="8"/>
      <c r="V262" s="8"/>
      <c r="W262" s="8"/>
      <c r="X262" s="8"/>
      <c r="Y262" s="8"/>
      <c r="Z262" s="503"/>
      <c r="AA262" s="8"/>
    </row>
    <row r="263" spans="1:27" s="26" customFormat="1" ht="28.5" hidden="1" customHeight="1">
      <c r="A263" s="8" t="s">
        <v>20</v>
      </c>
      <c r="B263" s="31" t="s">
        <v>54</v>
      </c>
      <c r="C263" s="18" t="s">
        <v>751</v>
      </c>
      <c r="D263" s="18" t="s">
        <v>765</v>
      </c>
      <c r="E263" s="69" t="s">
        <v>766</v>
      </c>
      <c r="F263" s="8"/>
      <c r="G263" s="18" t="s">
        <v>62</v>
      </c>
      <c r="H263" s="18" t="s">
        <v>754</v>
      </c>
      <c r="I263" s="18" t="s">
        <v>485</v>
      </c>
      <c r="J263" s="8"/>
      <c r="K263" s="8"/>
      <c r="L263" s="8"/>
      <c r="M263" s="8"/>
      <c r="N263" s="8"/>
      <c r="O263" s="8"/>
      <c r="P263" s="60"/>
      <c r="Q263" s="46"/>
      <c r="R263" s="38"/>
      <c r="S263" s="8"/>
      <c r="T263" s="8"/>
      <c r="U263" s="8"/>
      <c r="V263" s="8"/>
      <c r="W263" s="8"/>
      <c r="X263" s="8"/>
      <c r="Y263" s="8"/>
      <c r="Z263" s="503"/>
      <c r="AA263" s="8"/>
    </row>
    <row r="264" spans="1:27" s="26" customFormat="1" ht="28.5" hidden="1" customHeight="1">
      <c r="A264" s="8" t="s">
        <v>20</v>
      </c>
      <c r="B264" s="31" t="s">
        <v>54</v>
      </c>
      <c r="C264" s="18" t="s">
        <v>751</v>
      </c>
      <c r="D264" s="18" t="s">
        <v>767</v>
      </c>
      <c r="E264" s="69" t="s">
        <v>768</v>
      </c>
      <c r="F264" s="8"/>
      <c r="G264" s="18" t="s">
        <v>62</v>
      </c>
      <c r="H264" s="18" t="s">
        <v>754</v>
      </c>
      <c r="I264" s="18" t="s">
        <v>485</v>
      </c>
      <c r="J264" s="8"/>
      <c r="K264" s="8"/>
      <c r="L264" s="8"/>
      <c r="M264" s="8"/>
      <c r="N264" s="8"/>
      <c r="O264" s="8"/>
      <c r="P264" s="60"/>
      <c r="Q264" s="46"/>
      <c r="R264" s="38"/>
      <c r="S264" s="8"/>
      <c r="T264" s="8"/>
      <c r="U264" s="8"/>
      <c r="V264" s="8"/>
      <c r="W264" s="8"/>
      <c r="X264" s="8"/>
      <c r="Y264" s="8"/>
      <c r="Z264" s="503"/>
      <c r="AA264" s="8"/>
    </row>
    <row r="265" spans="1:27" s="26" customFormat="1" ht="28.5" hidden="1" customHeight="1">
      <c r="A265" s="8" t="s">
        <v>20</v>
      </c>
      <c r="B265" s="31" t="s">
        <v>54</v>
      </c>
      <c r="C265" s="18" t="s">
        <v>751</v>
      </c>
      <c r="D265" s="18" t="s">
        <v>769</v>
      </c>
      <c r="E265" s="69" t="s">
        <v>770</v>
      </c>
      <c r="F265" s="8"/>
      <c r="G265" s="18" t="s">
        <v>62</v>
      </c>
      <c r="H265" s="18" t="s">
        <v>754</v>
      </c>
      <c r="I265" s="18" t="s">
        <v>485</v>
      </c>
      <c r="J265" s="8"/>
      <c r="K265" s="8"/>
      <c r="L265" s="8"/>
      <c r="M265" s="8"/>
      <c r="N265" s="8"/>
      <c r="O265" s="8"/>
      <c r="P265" s="60"/>
      <c r="Q265" s="46"/>
      <c r="R265" s="38"/>
      <c r="S265" s="8"/>
      <c r="T265" s="8"/>
      <c r="U265" s="8"/>
      <c r="V265" s="8"/>
      <c r="W265" s="8"/>
      <c r="X265" s="8"/>
      <c r="Y265" s="8"/>
      <c r="Z265" s="503"/>
      <c r="AA265" s="8"/>
    </row>
    <row r="266" spans="1:27" s="26" customFormat="1" ht="28.5" hidden="1" customHeight="1">
      <c r="A266" s="8" t="s">
        <v>20</v>
      </c>
      <c r="B266" s="31" t="s">
        <v>54</v>
      </c>
      <c r="C266" s="18" t="s">
        <v>751</v>
      </c>
      <c r="D266" s="18" t="s">
        <v>771</v>
      </c>
      <c r="E266" s="18" t="s">
        <v>772</v>
      </c>
      <c r="F266" s="8"/>
      <c r="G266" s="18" t="s">
        <v>62</v>
      </c>
      <c r="H266" s="18" t="s">
        <v>773</v>
      </c>
      <c r="I266" s="18" t="s">
        <v>139</v>
      </c>
      <c r="J266" s="8"/>
      <c r="K266" s="8"/>
      <c r="L266" s="8"/>
      <c r="M266" s="8"/>
      <c r="N266" s="8"/>
      <c r="O266" s="8"/>
      <c r="P266" s="60"/>
      <c r="Q266" s="46"/>
      <c r="R266" s="38"/>
      <c r="S266" s="8"/>
      <c r="T266" s="8"/>
      <c r="U266" s="8"/>
      <c r="V266" s="8"/>
      <c r="W266" s="8"/>
      <c r="X266" s="8"/>
      <c r="Y266" s="8"/>
      <c r="Z266" s="503"/>
      <c r="AA266" s="8"/>
    </row>
    <row r="267" spans="1:27" s="26" customFormat="1" ht="28.5" customHeight="1">
      <c r="A267" s="8" t="s">
        <v>20</v>
      </c>
      <c r="B267" s="31" t="s">
        <v>54</v>
      </c>
      <c r="C267" s="8" t="s">
        <v>774</v>
      </c>
      <c r="D267" s="8" t="s">
        <v>775</v>
      </c>
      <c r="E267" s="8" t="s">
        <v>776</v>
      </c>
      <c r="F267" s="8"/>
      <c r="G267" s="8" t="s">
        <v>62</v>
      </c>
      <c r="H267" s="8" t="s">
        <v>777</v>
      </c>
      <c r="I267" s="8" t="s">
        <v>494</v>
      </c>
      <c r="J267" s="8"/>
      <c r="K267" s="8"/>
      <c r="L267" s="8"/>
      <c r="M267" s="8"/>
      <c r="N267" s="8"/>
      <c r="O267" s="8"/>
      <c r="P267" s="60"/>
      <c r="Q267" s="46"/>
      <c r="R267" s="38" t="s">
        <v>1460</v>
      </c>
      <c r="S267" s="8" t="s">
        <v>1461</v>
      </c>
      <c r="T267" s="8" t="s">
        <v>1462</v>
      </c>
      <c r="U267" s="8" t="s">
        <v>1357</v>
      </c>
      <c r="V267" s="8" t="s">
        <v>1191</v>
      </c>
      <c r="W267" s="8">
        <v>2023</v>
      </c>
      <c r="X267" s="8" t="s">
        <v>9</v>
      </c>
      <c r="Y267" s="8" t="s">
        <v>1463</v>
      </c>
      <c r="Z267" s="503">
        <v>101007</v>
      </c>
      <c r="AA267" s="8" t="s">
        <v>1535</v>
      </c>
    </row>
    <row r="268" spans="1:27" s="26" customFormat="1" ht="28.5" hidden="1" customHeight="1">
      <c r="A268" s="8" t="s">
        <v>20</v>
      </c>
      <c r="B268" s="31" t="s">
        <v>54</v>
      </c>
      <c r="C268" s="8" t="s">
        <v>774</v>
      </c>
      <c r="D268" s="8" t="s">
        <v>778</v>
      </c>
      <c r="E268" s="8" t="s">
        <v>779</v>
      </c>
      <c r="F268" s="8"/>
      <c r="G268" s="8" t="s">
        <v>62</v>
      </c>
      <c r="H268" s="8" t="s">
        <v>780</v>
      </c>
      <c r="I268" s="8">
        <v>5</v>
      </c>
      <c r="J268" s="8"/>
      <c r="K268" s="8"/>
      <c r="L268" s="8"/>
      <c r="M268" s="8"/>
      <c r="N268" s="8"/>
      <c r="O268" s="8"/>
      <c r="P268" s="60"/>
      <c r="Q268" s="46"/>
      <c r="R268" s="38"/>
      <c r="S268" s="8"/>
      <c r="T268" s="8"/>
      <c r="U268" s="8"/>
      <c r="V268" s="8"/>
      <c r="W268" s="8"/>
      <c r="X268" s="8"/>
      <c r="Y268" s="8"/>
      <c r="Z268" s="503"/>
      <c r="AA268" s="8"/>
    </row>
    <row r="269" spans="1:27" s="26" customFormat="1" ht="28.5" hidden="1" customHeight="1">
      <c r="A269" s="8" t="s">
        <v>20</v>
      </c>
      <c r="B269" s="31" t="s">
        <v>54</v>
      </c>
      <c r="C269" s="8" t="s">
        <v>774</v>
      </c>
      <c r="D269" s="8" t="s">
        <v>781</v>
      </c>
      <c r="E269" s="8" t="s">
        <v>782</v>
      </c>
      <c r="F269" s="8"/>
      <c r="G269" s="8" t="s">
        <v>62</v>
      </c>
      <c r="H269" s="8" t="s">
        <v>783</v>
      </c>
      <c r="I269" s="9">
        <v>0.5</v>
      </c>
      <c r="J269" s="8"/>
      <c r="K269" s="8"/>
      <c r="L269" s="8"/>
      <c r="M269" s="8"/>
      <c r="N269" s="8"/>
      <c r="O269" s="8"/>
      <c r="P269" s="60"/>
      <c r="Q269" s="46"/>
      <c r="R269" s="38"/>
      <c r="S269" s="8"/>
      <c r="T269" s="8"/>
      <c r="U269" s="8"/>
      <c r="V269" s="8"/>
      <c r="W269" s="8"/>
      <c r="X269" s="8"/>
      <c r="Y269" s="8"/>
      <c r="Z269" s="503"/>
      <c r="AA269" s="8"/>
    </row>
    <row r="270" spans="1:27" s="26" customFormat="1" ht="28.5" customHeight="1">
      <c r="A270" s="8" t="s">
        <v>20</v>
      </c>
      <c r="B270" s="31" t="s">
        <v>54</v>
      </c>
      <c r="C270" s="8" t="s">
        <v>774</v>
      </c>
      <c r="D270" s="8" t="s">
        <v>784</v>
      </c>
      <c r="E270" s="8" t="s">
        <v>785</v>
      </c>
      <c r="F270" s="8"/>
      <c r="G270" s="8" t="s">
        <v>62</v>
      </c>
      <c r="H270" s="8" t="s">
        <v>786</v>
      </c>
      <c r="I270" s="8" t="s">
        <v>214</v>
      </c>
      <c r="J270" s="8"/>
      <c r="K270" s="8"/>
      <c r="L270" s="8"/>
      <c r="M270" s="8"/>
      <c r="N270" s="8"/>
      <c r="O270" s="8"/>
      <c r="P270" s="60"/>
      <c r="Q270" s="46"/>
      <c r="R270" s="38" t="s">
        <v>1460</v>
      </c>
      <c r="S270" s="8" t="s">
        <v>1461</v>
      </c>
      <c r="T270" s="8" t="s">
        <v>1462</v>
      </c>
      <c r="U270" s="8" t="s">
        <v>1357</v>
      </c>
      <c r="V270" s="8" t="s">
        <v>1191</v>
      </c>
      <c r="W270" s="8">
        <v>2023</v>
      </c>
      <c r="X270" s="8" t="s">
        <v>9</v>
      </c>
      <c r="Y270" s="8" t="s">
        <v>1463</v>
      </c>
      <c r="Z270" s="503">
        <v>0</v>
      </c>
      <c r="AA270" s="8" t="s">
        <v>1536</v>
      </c>
    </row>
    <row r="271" spans="1:27" s="26" customFormat="1" ht="28.5" hidden="1" customHeight="1">
      <c r="A271" s="8" t="s">
        <v>20</v>
      </c>
      <c r="B271" s="31" t="s">
        <v>54</v>
      </c>
      <c r="C271" s="8" t="s">
        <v>774</v>
      </c>
      <c r="D271" s="8" t="s">
        <v>787</v>
      </c>
      <c r="E271" s="8" t="s">
        <v>788</v>
      </c>
      <c r="F271" s="8"/>
      <c r="G271" s="8" t="s">
        <v>62</v>
      </c>
      <c r="H271" s="8" t="s">
        <v>789</v>
      </c>
      <c r="I271" s="9">
        <v>1</v>
      </c>
      <c r="J271" s="8"/>
      <c r="K271" s="8"/>
      <c r="L271" s="8"/>
      <c r="M271" s="8"/>
      <c r="N271" s="8"/>
      <c r="O271" s="8"/>
      <c r="P271" s="60"/>
      <c r="Q271" s="46"/>
      <c r="R271" s="38"/>
      <c r="S271" s="8"/>
      <c r="T271" s="8"/>
      <c r="U271" s="8"/>
      <c r="V271" s="8"/>
      <c r="W271" s="8"/>
      <c r="X271" s="8"/>
      <c r="Y271" s="8"/>
      <c r="Z271" s="503"/>
      <c r="AA271" s="8"/>
    </row>
    <row r="272" spans="1:27" s="26" customFormat="1" ht="28.5" hidden="1" customHeight="1">
      <c r="A272" s="8" t="s">
        <v>20</v>
      </c>
      <c r="B272" s="31" t="s">
        <v>54</v>
      </c>
      <c r="C272" s="8" t="s">
        <v>774</v>
      </c>
      <c r="D272" s="8" t="s">
        <v>790</v>
      </c>
      <c r="E272" s="8" t="s">
        <v>791</v>
      </c>
      <c r="F272" s="8"/>
      <c r="G272" s="8" t="s">
        <v>62</v>
      </c>
      <c r="H272" s="8" t="s">
        <v>789</v>
      </c>
      <c r="I272" s="9">
        <v>1</v>
      </c>
      <c r="J272" s="8"/>
      <c r="K272" s="8"/>
      <c r="L272" s="8"/>
      <c r="M272" s="8"/>
      <c r="N272" s="8"/>
      <c r="O272" s="8"/>
      <c r="P272" s="60"/>
      <c r="Q272" s="46"/>
      <c r="R272" s="38"/>
      <c r="S272" s="8"/>
      <c r="T272" s="8"/>
      <c r="U272" s="8"/>
      <c r="V272" s="8"/>
      <c r="W272" s="8"/>
      <c r="X272" s="8"/>
      <c r="Y272" s="8"/>
      <c r="Z272" s="503"/>
      <c r="AA272" s="8"/>
    </row>
    <row r="273" spans="1:27" s="26" customFormat="1" ht="31.5">
      <c r="A273" s="20" t="s">
        <v>20</v>
      </c>
      <c r="B273" s="32" t="s">
        <v>54</v>
      </c>
      <c r="C273" s="19" t="s">
        <v>792</v>
      </c>
      <c r="D273" s="19" t="s">
        <v>582</v>
      </c>
      <c r="E273" s="19" t="s">
        <v>582</v>
      </c>
      <c r="F273" s="19" t="s">
        <v>582</v>
      </c>
      <c r="G273" s="19" t="s">
        <v>582</v>
      </c>
      <c r="H273" s="19" t="s">
        <v>582</v>
      </c>
      <c r="I273" s="19" t="s">
        <v>582</v>
      </c>
      <c r="J273" s="19" t="s">
        <v>582</v>
      </c>
      <c r="K273" s="19" t="s">
        <v>582</v>
      </c>
      <c r="L273" s="19" t="s">
        <v>582</v>
      </c>
      <c r="M273" s="19" t="s">
        <v>582</v>
      </c>
      <c r="N273" s="19" t="s">
        <v>582</v>
      </c>
      <c r="O273" s="19" t="s">
        <v>582</v>
      </c>
      <c r="P273" s="19" t="s">
        <v>582</v>
      </c>
      <c r="Q273" s="48"/>
      <c r="R273" s="44" t="s">
        <v>582</v>
      </c>
      <c r="S273" s="19" t="s">
        <v>582</v>
      </c>
      <c r="T273" s="19" t="s">
        <v>582</v>
      </c>
      <c r="U273" s="19"/>
      <c r="V273" s="19" t="s">
        <v>582</v>
      </c>
      <c r="W273" s="19" t="s">
        <v>582</v>
      </c>
      <c r="X273" s="19" t="s">
        <v>582</v>
      </c>
      <c r="Y273" s="19" t="s">
        <v>582</v>
      </c>
      <c r="Z273" s="19" t="s">
        <v>582</v>
      </c>
      <c r="AA273" s="19" t="s">
        <v>582</v>
      </c>
    </row>
    <row r="274" spans="1:27" s="26" customFormat="1" ht="28.5" customHeight="1">
      <c r="A274" s="8" t="s">
        <v>20</v>
      </c>
      <c r="B274" s="29" t="s">
        <v>195</v>
      </c>
      <c r="C274" s="8" t="s">
        <v>793</v>
      </c>
      <c r="D274" s="8" t="s">
        <v>794</v>
      </c>
      <c r="E274" s="8" t="s">
        <v>795</v>
      </c>
      <c r="F274" s="8"/>
      <c r="G274" s="8" t="s">
        <v>62</v>
      </c>
      <c r="H274" s="8" t="s">
        <v>796</v>
      </c>
      <c r="I274" s="9">
        <v>1</v>
      </c>
      <c r="J274" s="8"/>
      <c r="K274" s="8"/>
      <c r="L274" s="8"/>
      <c r="M274" s="8"/>
      <c r="N274" s="8"/>
      <c r="O274" s="8"/>
      <c r="P274" s="60"/>
      <c r="Q274" s="46"/>
      <c r="R274" s="38" t="s">
        <v>1460</v>
      </c>
      <c r="S274" s="8" t="s">
        <v>1461</v>
      </c>
      <c r="T274" s="8" t="s">
        <v>1462</v>
      </c>
      <c r="U274" s="8" t="s">
        <v>1357</v>
      </c>
      <c r="V274" s="8" t="s">
        <v>1191</v>
      </c>
      <c r="W274" s="8">
        <v>2023</v>
      </c>
      <c r="X274" s="8" t="s">
        <v>9</v>
      </c>
      <c r="Y274" s="8" t="s">
        <v>1463</v>
      </c>
      <c r="Z274" s="503">
        <v>0</v>
      </c>
      <c r="AA274" s="8" t="s">
        <v>1464</v>
      </c>
    </row>
    <row r="275" spans="1:27" s="26" customFormat="1" ht="28.5" hidden="1" customHeight="1">
      <c r="A275" s="8" t="s">
        <v>20</v>
      </c>
      <c r="B275" s="29" t="s">
        <v>195</v>
      </c>
      <c r="C275" s="8" t="s">
        <v>793</v>
      </c>
      <c r="D275" s="8" t="s">
        <v>797</v>
      </c>
      <c r="E275" s="8" t="s">
        <v>798</v>
      </c>
      <c r="F275" s="8"/>
      <c r="G275" s="20" t="s">
        <v>62</v>
      </c>
      <c r="H275" s="20"/>
      <c r="I275" s="22"/>
      <c r="J275" s="20"/>
      <c r="K275" s="20"/>
      <c r="L275" s="20"/>
      <c r="M275" s="20"/>
      <c r="N275" s="20"/>
      <c r="O275" s="20"/>
      <c r="P275" s="20"/>
      <c r="Q275" s="46"/>
      <c r="R275" s="39"/>
      <c r="S275" s="20"/>
      <c r="T275" s="20"/>
      <c r="U275" s="20"/>
      <c r="V275" s="20"/>
      <c r="W275" s="20"/>
      <c r="X275" s="20"/>
      <c r="Y275" s="20"/>
      <c r="Z275" s="504"/>
      <c r="AA275" s="20"/>
    </row>
    <row r="276" spans="1:27" s="26" customFormat="1" ht="28.5" customHeight="1">
      <c r="A276" s="8" t="s">
        <v>20</v>
      </c>
      <c r="B276" s="29" t="s">
        <v>195</v>
      </c>
      <c r="C276" s="8" t="s">
        <v>793</v>
      </c>
      <c r="D276" s="8" t="s">
        <v>799</v>
      </c>
      <c r="E276" s="69" t="s">
        <v>800</v>
      </c>
      <c r="F276" s="8"/>
      <c r="G276" s="8" t="s">
        <v>62</v>
      </c>
      <c r="H276" s="8" t="s">
        <v>801</v>
      </c>
      <c r="I276" s="9">
        <v>1</v>
      </c>
      <c r="J276" s="8"/>
      <c r="K276" s="8"/>
      <c r="L276" s="8"/>
      <c r="M276" s="8"/>
      <c r="N276" s="8"/>
      <c r="O276" s="8"/>
      <c r="P276" s="60"/>
      <c r="Q276" s="46"/>
      <c r="R276" s="38" t="s">
        <v>1460</v>
      </c>
      <c r="S276" s="8" t="s">
        <v>1461</v>
      </c>
      <c r="T276" s="8" t="s">
        <v>1462</v>
      </c>
      <c r="U276" s="8" t="s">
        <v>1357</v>
      </c>
      <c r="V276" s="8" t="s">
        <v>1191</v>
      </c>
      <c r="W276" s="8">
        <v>2023</v>
      </c>
      <c r="X276" s="8" t="s">
        <v>9</v>
      </c>
      <c r="Y276" s="8" t="s">
        <v>1463</v>
      </c>
      <c r="Z276" s="503">
        <v>0</v>
      </c>
      <c r="AA276" s="8" t="s">
        <v>1464</v>
      </c>
    </row>
    <row r="277" spans="1:27" s="26" customFormat="1" ht="28.5" customHeight="1">
      <c r="A277" s="8" t="s">
        <v>20</v>
      </c>
      <c r="B277" s="29" t="s">
        <v>195</v>
      </c>
      <c r="C277" s="8" t="s">
        <v>793</v>
      </c>
      <c r="D277" s="8" t="s">
        <v>802</v>
      </c>
      <c r="E277" s="69" t="s">
        <v>803</v>
      </c>
      <c r="F277" s="8"/>
      <c r="G277" s="8" t="s">
        <v>62</v>
      </c>
      <c r="H277" s="8" t="s">
        <v>804</v>
      </c>
      <c r="I277" s="9">
        <v>1</v>
      </c>
      <c r="J277" s="8"/>
      <c r="K277" s="8"/>
      <c r="L277" s="8"/>
      <c r="M277" s="8"/>
      <c r="N277" s="8"/>
      <c r="O277" s="8"/>
      <c r="P277" s="60"/>
      <c r="Q277" s="46"/>
      <c r="R277" s="38" t="s">
        <v>1460</v>
      </c>
      <c r="S277" s="8" t="s">
        <v>1461</v>
      </c>
      <c r="T277" s="8" t="s">
        <v>1462</v>
      </c>
      <c r="U277" s="8" t="s">
        <v>1357</v>
      </c>
      <c r="V277" s="8" t="s">
        <v>1191</v>
      </c>
      <c r="W277" s="8">
        <v>2023</v>
      </c>
      <c r="X277" s="8" t="s">
        <v>9</v>
      </c>
      <c r="Y277" s="8" t="s">
        <v>1463</v>
      </c>
      <c r="Z277" s="503">
        <v>0</v>
      </c>
      <c r="AA277" s="8" t="s">
        <v>1464</v>
      </c>
    </row>
    <row r="278" spans="1:27" s="26" customFormat="1" ht="28.5"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Q278" s="46"/>
      <c r="R278" s="38" t="s">
        <v>1537</v>
      </c>
      <c r="S278" s="8" t="s">
        <v>1538</v>
      </c>
      <c r="T278" s="8" t="s">
        <v>1539</v>
      </c>
      <c r="U278" s="8" t="s">
        <v>1357</v>
      </c>
      <c r="V278" s="8" t="s">
        <v>1191</v>
      </c>
      <c r="W278" s="8">
        <v>2023</v>
      </c>
      <c r="X278" s="8" t="s">
        <v>9</v>
      </c>
      <c r="Y278" s="8" t="s">
        <v>1540</v>
      </c>
      <c r="Z278" s="503">
        <v>0</v>
      </c>
      <c r="AA278" s="8" t="s">
        <v>1541</v>
      </c>
    </row>
    <row r="279" spans="1:27" s="26" customFormat="1" ht="28.5" customHeight="1">
      <c r="A279" s="8" t="s">
        <v>20</v>
      </c>
      <c r="B279" s="29" t="s">
        <v>195</v>
      </c>
      <c r="C279" s="8" t="s">
        <v>808</v>
      </c>
      <c r="D279" s="8" t="s">
        <v>809</v>
      </c>
      <c r="E279" s="8" t="s">
        <v>810</v>
      </c>
      <c r="F279" s="8"/>
      <c r="G279" s="8" t="s">
        <v>62</v>
      </c>
      <c r="H279" s="8" t="s">
        <v>811</v>
      </c>
      <c r="I279" s="9">
        <v>1</v>
      </c>
      <c r="J279" s="8"/>
      <c r="K279" s="8"/>
      <c r="L279" s="8"/>
      <c r="M279" s="8"/>
      <c r="N279" s="8"/>
      <c r="O279" s="8"/>
      <c r="P279" s="60"/>
      <c r="Q279" s="46"/>
      <c r="R279" s="38" t="s">
        <v>1460</v>
      </c>
      <c r="S279" s="8" t="s">
        <v>1461</v>
      </c>
      <c r="T279" s="8" t="s">
        <v>1462</v>
      </c>
      <c r="U279" s="8" t="s">
        <v>1357</v>
      </c>
      <c r="V279" s="8" t="s">
        <v>1191</v>
      </c>
      <c r="W279" s="8">
        <v>2023</v>
      </c>
      <c r="X279" s="8" t="s">
        <v>9</v>
      </c>
      <c r="Y279" s="8" t="s">
        <v>1463</v>
      </c>
      <c r="Z279" s="503">
        <v>0</v>
      </c>
      <c r="AA279" s="8" t="s">
        <v>1464</v>
      </c>
    </row>
    <row r="280" spans="1:27" s="26" customFormat="1" ht="28.5" customHeight="1">
      <c r="A280" s="8" t="s">
        <v>20</v>
      </c>
      <c r="B280" s="29" t="s">
        <v>195</v>
      </c>
      <c r="C280" s="8" t="s">
        <v>808</v>
      </c>
      <c r="D280" s="8" t="s">
        <v>812</v>
      </c>
      <c r="E280" s="8" t="s">
        <v>813</v>
      </c>
      <c r="F280" s="8"/>
      <c r="G280" s="8" t="s">
        <v>62</v>
      </c>
      <c r="H280" s="8" t="s">
        <v>814</v>
      </c>
      <c r="I280" s="8" t="s">
        <v>210</v>
      </c>
      <c r="J280" s="8"/>
      <c r="K280" s="8"/>
      <c r="L280" s="8"/>
      <c r="M280" s="8"/>
      <c r="N280" s="8"/>
      <c r="O280" s="8"/>
      <c r="P280" s="60"/>
      <c r="Q280" s="46"/>
      <c r="R280" s="38" t="s">
        <v>1460</v>
      </c>
      <c r="S280" s="8" t="s">
        <v>1461</v>
      </c>
      <c r="T280" s="8" t="s">
        <v>1462</v>
      </c>
      <c r="U280" s="8" t="s">
        <v>1357</v>
      </c>
      <c r="V280" s="8" t="s">
        <v>1191</v>
      </c>
      <c r="W280" s="8">
        <v>2023</v>
      </c>
      <c r="X280" s="8" t="s">
        <v>9</v>
      </c>
      <c r="Y280" s="8" t="s">
        <v>1463</v>
      </c>
      <c r="Z280" s="503">
        <v>0</v>
      </c>
      <c r="AA280" s="8" t="s">
        <v>1464</v>
      </c>
    </row>
    <row r="281" spans="1:27" s="26" customFormat="1" ht="28.5" hidden="1" customHeight="1">
      <c r="A281" s="8" t="s">
        <v>20</v>
      </c>
      <c r="B281" s="29" t="s">
        <v>195</v>
      </c>
      <c r="C281" s="8" t="s">
        <v>815</v>
      </c>
      <c r="D281" s="8" t="s">
        <v>816</v>
      </c>
      <c r="E281" s="8" t="s">
        <v>253</v>
      </c>
      <c r="F281" s="8"/>
      <c r="G281" s="8" t="s">
        <v>62</v>
      </c>
      <c r="H281" s="8" t="s">
        <v>254</v>
      </c>
      <c r="I281" s="9">
        <v>1</v>
      </c>
      <c r="J281" s="8"/>
      <c r="K281" s="8"/>
      <c r="L281" s="8"/>
      <c r="M281" s="8"/>
      <c r="N281" s="8"/>
      <c r="O281" s="8"/>
      <c r="P281" s="60"/>
      <c r="Q281" s="46"/>
      <c r="R281" s="38"/>
      <c r="S281" s="8"/>
      <c r="T281" s="8"/>
      <c r="U281" s="8"/>
      <c r="V281" s="8"/>
      <c r="W281" s="8"/>
      <c r="X281" s="8"/>
      <c r="Y281" s="8"/>
      <c r="Z281" s="503"/>
      <c r="AA281" s="8"/>
    </row>
    <row r="282" spans="1:27" s="26" customFormat="1" ht="28.5" hidden="1" customHeight="1">
      <c r="A282" s="8" t="s">
        <v>20</v>
      </c>
      <c r="B282" s="29" t="s">
        <v>195</v>
      </c>
      <c r="C282" s="8" t="s">
        <v>815</v>
      </c>
      <c r="D282" s="8" t="s">
        <v>817</v>
      </c>
      <c r="E282" s="8" t="s">
        <v>818</v>
      </c>
      <c r="F282" s="8"/>
      <c r="G282" s="20" t="s">
        <v>62</v>
      </c>
      <c r="H282" s="20"/>
      <c r="I282" s="22"/>
      <c r="J282" s="20"/>
      <c r="K282" s="20"/>
      <c r="L282" s="20"/>
      <c r="M282" s="20"/>
      <c r="N282" s="20"/>
      <c r="O282" s="20"/>
      <c r="P282" s="20"/>
      <c r="Q282" s="46"/>
      <c r="R282" s="39"/>
      <c r="S282" s="20"/>
      <c r="T282" s="20"/>
      <c r="U282" s="20"/>
      <c r="V282" s="20"/>
      <c r="W282" s="20"/>
      <c r="X282" s="20"/>
      <c r="Y282" s="20"/>
      <c r="Z282" s="504"/>
      <c r="AA282" s="20"/>
    </row>
    <row r="283" spans="1:27" s="26" customFormat="1" ht="28.5" customHeight="1">
      <c r="A283" s="8" t="s">
        <v>20</v>
      </c>
      <c r="B283" s="29" t="s">
        <v>195</v>
      </c>
      <c r="C283" s="8" t="s">
        <v>815</v>
      </c>
      <c r="D283" s="8" t="s">
        <v>819</v>
      </c>
      <c r="E283" s="69" t="s">
        <v>820</v>
      </c>
      <c r="F283" s="8"/>
      <c r="G283" s="8" t="s">
        <v>62</v>
      </c>
      <c r="H283" s="8" t="s">
        <v>821</v>
      </c>
      <c r="I283" s="9">
        <v>1</v>
      </c>
      <c r="J283" s="8"/>
      <c r="K283" s="8"/>
      <c r="L283" s="8"/>
      <c r="M283" s="8"/>
      <c r="N283" s="8"/>
      <c r="O283" s="8"/>
      <c r="P283" s="60"/>
      <c r="Q283" s="46"/>
      <c r="R283" s="38" t="s">
        <v>1460</v>
      </c>
      <c r="S283" s="8" t="s">
        <v>1461</v>
      </c>
      <c r="T283" s="8" t="s">
        <v>1462</v>
      </c>
      <c r="U283" s="8" t="s">
        <v>1357</v>
      </c>
      <c r="V283" s="8" t="s">
        <v>1191</v>
      </c>
      <c r="W283" s="8">
        <v>2023</v>
      </c>
      <c r="X283" s="8" t="s">
        <v>9</v>
      </c>
      <c r="Y283" s="8" t="s">
        <v>1463</v>
      </c>
      <c r="Z283" s="503">
        <v>0</v>
      </c>
      <c r="AA283" s="8" t="s">
        <v>1464</v>
      </c>
    </row>
    <row r="284" spans="1:27" s="26" customFormat="1" ht="28.5" customHeight="1">
      <c r="A284" s="8" t="s">
        <v>20</v>
      </c>
      <c r="B284" s="29" t="s">
        <v>195</v>
      </c>
      <c r="C284" s="8" t="s">
        <v>815</v>
      </c>
      <c r="D284" s="8" t="s">
        <v>822</v>
      </c>
      <c r="E284" s="69" t="s">
        <v>823</v>
      </c>
      <c r="F284" s="8"/>
      <c r="G284" s="8" t="s">
        <v>62</v>
      </c>
      <c r="H284" s="8" t="s">
        <v>824</v>
      </c>
      <c r="I284" s="9">
        <v>1</v>
      </c>
      <c r="J284" s="8"/>
      <c r="K284" s="8"/>
      <c r="L284" s="8"/>
      <c r="M284" s="8"/>
      <c r="N284" s="8"/>
      <c r="O284" s="8"/>
      <c r="P284" s="60"/>
      <c r="Q284" s="46"/>
      <c r="R284" s="38" t="s">
        <v>1460</v>
      </c>
      <c r="S284" s="8" t="s">
        <v>1461</v>
      </c>
      <c r="T284" s="8" t="s">
        <v>1462</v>
      </c>
      <c r="U284" s="8" t="s">
        <v>1357</v>
      </c>
      <c r="V284" s="8" t="s">
        <v>1191</v>
      </c>
      <c r="W284" s="8">
        <v>2023</v>
      </c>
      <c r="X284" s="8" t="s">
        <v>9</v>
      </c>
      <c r="Y284" s="8" t="s">
        <v>1463</v>
      </c>
      <c r="Z284" s="503">
        <v>0</v>
      </c>
      <c r="AA284" s="8" t="s">
        <v>1464</v>
      </c>
    </row>
    <row r="285" spans="1:27" s="26" customFormat="1" ht="28.5" customHeight="1">
      <c r="A285" s="8" t="s">
        <v>20</v>
      </c>
      <c r="B285" s="29" t="s">
        <v>195</v>
      </c>
      <c r="C285" s="8" t="s">
        <v>815</v>
      </c>
      <c r="D285" s="8" t="s">
        <v>825</v>
      </c>
      <c r="E285" s="8" t="s">
        <v>826</v>
      </c>
      <c r="F285" s="8"/>
      <c r="G285" s="8" t="s">
        <v>62</v>
      </c>
      <c r="H285" s="8" t="s">
        <v>827</v>
      </c>
      <c r="I285" s="9">
        <v>1</v>
      </c>
      <c r="J285" s="8"/>
      <c r="K285" s="8"/>
      <c r="L285" s="8"/>
      <c r="M285" s="8"/>
      <c r="N285" s="8"/>
      <c r="O285" s="8"/>
      <c r="P285" s="60"/>
      <c r="Q285" s="46"/>
      <c r="R285" s="38" t="s">
        <v>1460</v>
      </c>
      <c r="S285" s="8" t="s">
        <v>1461</v>
      </c>
      <c r="T285" s="8" t="s">
        <v>1462</v>
      </c>
      <c r="U285" s="8" t="s">
        <v>1357</v>
      </c>
      <c r="V285" s="8" t="s">
        <v>1191</v>
      </c>
      <c r="W285" s="8">
        <v>2023</v>
      </c>
      <c r="X285" s="8" t="s">
        <v>9</v>
      </c>
      <c r="Y285" s="8" t="s">
        <v>1463</v>
      </c>
      <c r="Z285" s="503">
        <v>0</v>
      </c>
      <c r="AA285" s="8" t="s">
        <v>1464</v>
      </c>
    </row>
    <row r="286" spans="1:27" s="26" customFormat="1" ht="28.5" customHeight="1">
      <c r="A286" s="8" t="s">
        <v>20</v>
      </c>
      <c r="B286" s="29" t="s">
        <v>195</v>
      </c>
      <c r="C286" s="8" t="s">
        <v>815</v>
      </c>
      <c r="D286" s="8" t="s">
        <v>828</v>
      </c>
      <c r="E286" s="8" t="s">
        <v>829</v>
      </c>
      <c r="F286" s="8"/>
      <c r="G286" s="8" t="s">
        <v>62</v>
      </c>
      <c r="H286" s="8" t="s">
        <v>830</v>
      </c>
      <c r="I286" s="8" t="s">
        <v>831</v>
      </c>
      <c r="J286" s="8"/>
      <c r="K286" s="8"/>
      <c r="L286" s="8"/>
      <c r="M286" s="8"/>
      <c r="N286" s="8"/>
      <c r="O286" s="8"/>
      <c r="P286" s="60"/>
      <c r="Q286" s="46"/>
      <c r="R286" s="38" t="s">
        <v>1460</v>
      </c>
      <c r="S286" s="8" t="s">
        <v>1461</v>
      </c>
      <c r="T286" s="8" t="s">
        <v>1462</v>
      </c>
      <c r="U286" s="8" t="s">
        <v>1357</v>
      </c>
      <c r="V286" s="8" t="s">
        <v>1191</v>
      </c>
      <c r="W286" s="8">
        <v>2023</v>
      </c>
      <c r="X286" s="8" t="s">
        <v>9</v>
      </c>
      <c r="Y286" s="8" t="s">
        <v>1463</v>
      </c>
      <c r="Z286" s="503">
        <v>0</v>
      </c>
      <c r="AA286" s="8" t="s">
        <v>1464</v>
      </c>
    </row>
    <row r="287" spans="1:27" s="26" customFormat="1" ht="28.5" hidden="1" customHeight="1">
      <c r="A287" s="8" t="s">
        <v>20</v>
      </c>
      <c r="B287" s="29" t="s">
        <v>195</v>
      </c>
      <c r="C287" s="8" t="s">
        <v>815</v>
      </c>
      <c r="D287" s="8" t="s">
        <v>832</v>
      </c>
      <c r="E287" s="8" t="s">
        <v>833</v>
      </c>
      <c r="F287" s="8"/>
      <c r="G287" s="8" t="s">
        <v>62</v>
      </c>
      <c r="H287" s="8" t="s">
        <v>834</v>
      </c>
      <c r="I287" s="9">
        <v>0.8</v>
      </c>
      <c r="J287" s="8"/>
      <c r="K287" s="8"/>
      <c r="L287" s="8"/>
      <c r="M287" s="8"/>
      <c r="N287" s="8"/>
      <c r="O287" s="8"/>
      <c r="P287" s="60"/>
      <c r="Q287" s="46"/>
      <c r="R287" s="38"/>
      <c r="S287" s="8"/>
      <c r="T287" s="8"/>
      <c r="U287" s="8"/>
      <c r="V287" s="8"/>
      <c r="W287" s="8"/>
      <c r="X287" s="8"/>
      <c r="Y287" s="8"/>
      <c r="Z287" s="503"/>
      <c r="AA287" s="8"/>
    </row>
    <row r="288" spans="1:27" s="26" customFormat="1" ht="28.5" hidden="1" customHeight="1">
      <c r="A288" s="8" t="s">
        <v>20</v>
      </c>
      <c r="B288" s="29" t="s">
        <v>195</v>
      </c>
      <c r="C288" s="8" t="s">
        <v>835</v>
      </c>
      <c r="D288" s="8" t="s">
        <v>836</v>
      </c>
      <c r="E288" s="8" t="s">
        <v>837</v>
      </c>
      <c r="F288" s="8"/>
      <c r="G288" s="8" t="s">
        <v>62</v>
      </c>
      <c r="H288" s="8" t="s">
        <v>783</v>
      </c>
      <c r="I288" s="9">
        <v>0.5</v>
      </c>
      <c r="J288" s="8"/>
      <c r="K288" s="8"/>
      <c r="L288" s="8"/>
      <c r="M288" s="8"/>
      <c r="N288" s="8"/>
      <c r="O288" s="8"/>
      <c r="P288" s="60"/>
      <c r="Q288" s="46"/>
      <c r="R288" s="38"/>
      <c r="S288" s="8"/>
      <c r="T288" s="8"/>
      <c r="U288" s="8"/>
      <c r="V288" s="8"/>
      <c r="W288" s="8"/>
      <c r="X288" s="8"/>
      <c r="Y288" s="8"/>
      <c r="Z288" s="503"/>
      <c r="AA288" s="8"/>
    </row>
    <row r="289" spans="1:51" ht="28.5" hidden="1" customHeight="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503"/>
      <c r="AA289" s="8"/>
    </row>
    <row r="290" spans="1:51" ht="28.5" customHeight="1">
      <c r="A290" s="8" t="s">
        <v>20</v>
      </c>
      <c r="B290" s="29" t="s">
        <v>195</v>
      </c>
      <c r="C290" s="8" t="s">
        <v>835</v>
      </c>
      <c r="D290" s="8" t="s">
        <v>840</v>
      </c>
      <c r="E290" s="8" t="s">
        <v>841</v>
      </c>
      <c r="F290" s="8"/>
      <c r="G290" s="8" t="s">
        <v>62</v>
      </c>
      <c r="H290" s="8" t="s">
        <v>842</v>
      </c>
      <c r="I290" s="8" t="s">
        <v>210</v>
      </c>
      <c r="J290" s="8"/>
      <c r="K290" s="8"/>
      <c r="L290" s="8"/>
      <c r="M290" s="8"/>
      <c r="N290" s="8"/>
      <c r="O290" s="8"/>
      <c r="P290" s="60"/>
      <c r="R290" s="37" t="s">
        <v>1542</v>
      </c>
      <c r="S290" s="9" t="s">
        <v>1355</v>
      </c>
      <c r="T290" s="9" t="s">
        <v>1356</v>
      </c>
      <c r="U290" s="9" t="s">
        <v>1357</v>
      </c>
      <c r="V290" s="9" t="s">
        <v>1191</v>
      </c>
      <c r="W290" s="150" t="s">
        <v>1358</v>
      </c>
      <c r="X290" s="9" t="s">
        <v>9</v>
      </c>
      <c r="Y290" s="8" t="s">
        <v>1458</v>
      </c>
      <c r="Z290" s="503">
        <v>0</v>
      </c>
      <c r="AA290" s="8" t="s">
        <v>1457</v>
      </c>
    </row>
    <row r="291" spans="1:51" ht="28.5" hidden="1" customHeight="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503"/>
      <c r="AA291" s="8"/>
    </row>
    <row r="292" spans="1:51" ht="28.5" hidden="1" customHeight="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503"/>
      <c r="AA292" s="8"/>
    </row>
    <row r="293" spans="1:51" ht="28.5" customHeight="1">
      <c r="A293" s="8" t="s">
        <v>20</v>
      </c>
      <c r="B293" s="29" t="s">
        <v>274</v>
      </c>
      <c r="C293" s="8" t="s">
        <v>850</v>
      </c>
      <c r="D293" s="8" t="s">
        <v>851</v>
      </c>
      <c r="E293" s="8" t="s">
        <v>852</v>
      </c>
      <c r="F293" s="8"/>
      <c r="G293" s="8" t="s">
        <v>62</v>
      </c>
      <c r="H293" s="8" t="s">
        <v>853</v>
      </c>
      <c r="I293" s="8" t="s">
        <v>697</v>
      </c>
      <c r="J293" s="8"/>
      <c r="K293" s="8"/>
      <c r="L293" s="8"/>
      <c r="M293" s="8"/>
      <c r="N293" s="8"/>
      <c r="O293" s="8"/>
      <c r="P293" s="60"/>
      <c r="R293" s="38" t="s">
        <v>1460</v>
      </c>
      <c r="S293" s="8" t="s">
        <v>1461</v>
      </c>
      <c r="T293" s="8" t="s">
        <v>1462</v>
      </c>
      <c r="U293" s="8" t="s">
        <v>1357</v>
      </c>
      <c r="V293" s="8" t="s">
        <v>1191</v>
      </c>
      <c r="W293" s="8">
        <v>2023</v>
      </c>
      <c r="X293" s="8" t="s">
        <v>9</v>
      </c>
      <c r="Y293" s="8" t="s">
        <v>1463</v>
      </c>
      <c r="Z293" s="503">
        <v>0</v>
      </c>
      <c r="AA293" s="8" t="s">
        <v>1464</v>
      </c>
    </row>
    <row r="294" spans="1:51" ht="28.5" customHeight="1">
      <c r="A294" s="8" t="s">
        <v>20</v>
      </c>
      <c r="B294" s="29" t="s">
        <v>274</v>
      </c>
      <c r="C294" s="8" t="s">
        <v>850</v>
      </c>
      <c r="D294" s="8" t="s">
        <v>854</v>
      </c>
      <c r="E294" s="8" t="s">
        <v>855</v>
      </c>
      <c r="F294" s="8"/>
      <c r="G294" s="8" t="s">
        <v>62</v>
      </c>
      <c r="H294" s="8" t="s">
        <v>856</v>
      </c>
      <c r="I294" s="8" t="s">
        <v>701</v>
      </c>
      <c r="J294" s="8"/>
      <c r="K294" s="8"/>
      <c r="L294" s="8"/>
      <c r="M294" s="8"/>
      <c r="N294" s="8"/>
      <c r="O294" s="8"/>
      <c r="P294" s="60"/>
      <c r="R294" s="38" t="s">
        <v>1460</v>
      </c>
      <c r="S294" s="8" t="s">
        <v>1461</v>
      </c>
      <c r="T294" s="8" t="s">
        <v>1462</v>
      </c>
      <c r="U294" s="8" t="s">
        <v>1357</v>
      </c>
      <c r="V294" s="8" t="s">
        <v>1191</v>
      </c>
      <c r="W294" s="8">
        <v>2023</v>
      </c>
      <c r="X294" s="8" t="s">
        <v>9</v>
      </c>
      <c r="Y294" s="8" t="s">
        <v>1463</v>
      </c>
      <c r="Z294" s="503">
        <v>0</v>
      </c>
      <c r="AA294" s="8" t="s">
        <v>1464</v>
      </c>
    </row>
    <row r="295" spans="1:51" ht="28.5" hidden="1" customHeight="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503"/>
      <c r="AA295" s="8"/>
    </row>
    <row r="296" spans="1:51" ht="28.5" customHeight="1">
      <c r="A296" s="8" t="s">
        <v>20</v>
      </c>
      <c r="B296" s="29" t="s">
        <v>274</v>
      </c>
      <c r="C296" s="8" t="s">
        <v>850</v>
      </c>
      <c r="D296" s="8" t="s">
        <v>860</v>
      </c>
      <c r="E296" s="8" t="s">
        <v>861</v>
      </c>
      <c r="F296" s="8"/>
      <c r="G296" s="8" t="s">
        <v>62</v>
      </c>
      <c r="H296" s="8" t="s">
        <v>862</v>
      </c>
      <c r="I296" s="9">
        <v>0.5</v>
      </c>
      <c r="J296" s="8"/>
      <c r="K296" s="8"/>
      <c r="L296" s="8"/>
      <c r="M296" s="8"/>
      <c r="N296" s="8"/>
      <c r="O296" s="8"/>
      <c r="P296" s="60"/>
      <c r="R296" s="38" t="s">
        <v>1460</v>
      </c>
      <c r="S296" s="8" t="s">
        <v>1461</v>
      </c>
      <c r="T296" s="8" t="s">
        <v>1462</v>
      </c>
      <c r="U296" s="8" t="s">
        <v>1357</v>
      </c>
      <c r="V296" s="8" t="s">
        <v>1191</v>
      </c>
      <c r="W296" s="8">
        <v>2023</v>
      </c>
      <c r="X296" s="8" t="s">
        <v>9</v>
      </c>
      <c r="Y296" s="8" t="s">
        <v>1463</v>
      </c>
      <c r="Z296" s="503">
        <v>0</v>
      </c>
      <c r="AA296" s="8" t="s">
        <v>1464</v>
      </c>
    </row>
    <row r="297" spans="1:51" ht="28.5" hidden="1" customHeight="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503"/>
      <c r="AA297" s="8"/>
    </row>
    <row r="298" spans="1:51" s="5" customFormat="1" ht="78.75" hidden="1">
      <c r="A298" s="20" t="s">
        <v>20</v>
      </c>
      <c r="B298" s="30" t="s">
        <v>274</v>
      </c>
      <c r="C298" s="19" t="s">
        <v>866</v>
      </c>
      <c r="D298" s="19" t="s">
        <v>582</v>
      </c>
      <c r="E298" s="19" t="s">
        <v>582</v>
      </c>
      <c r="F298" s="19" t="s">
        <v>582</v>
      </c>
      <c r="G298" s="19" t="s">
        <v>582</v>
      </c>
      <c r="H298" s="19" t="s">
        <v>582</v>
      </c>
      <c r="I298" s="19" t="s">
        <v>582</v>
      </c>
      <c r="J298" s="19" t="s">
        <v>582</v>
      </c>
      <c r="K298" s="19" t="s">
        <v>582</v>
      </c>
      <c r="L298" s="19" t="s">
        <v>582</v>
      </c>
      <c r="M298" s="19" t="s">
        <v>582</v>
      </c>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t="s">
        <v>582</v>
      </c>
      <c r="E299" s="19" t="s">
        <v>582</v>
      </c>
      <c r="F299" s="19" t="s">
        <v>582</v>
      </c>
      <c r="G299" s="19" t="s">
        <v>582</v>
      </c>
      <c r="H299" s="19" t="s">
        <v>582</v>
      </c>
      <c r="I299" s="19" t="s">
        <v>582</v>
      </c>
      <c r="J299" s="19" t="s">
        <v>582</v>
      </c>
      <c r="K299" s="19" t="s">
        <v>582</v>
      </c>
      <c r="L299" s="19" t="s">
        <v>582</v>
      </c>
      <c r="M299" s="19" t="s">
        <v>582</v>
      </c>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28.5" hidden="1" customHeight="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503"/>
      <c r="AA300" s="8"/>
    </row>
    <row r="301" spans="1:51" ht="28.5" hidden="1" customHeight="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503"/>
      <c r="AA301" s="8"/>
    </row>
    <row r="302" spans="1:51" ht="28.5" hidden="1" customHeight="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504"/>
      <c r="AA302" s="20"/>
    </row>
    <row r="303" spans="1:51" ht="28.5" customHeight="1">
      <c r="A303" s="8" t="s">
        <v>20</v>
      </c>
      <c r="B303" s="29" t="s">
        <v>587</v>
      </c>
      <c r="C303" s="8" t="s">
        <v>876</v>
      </c>
      <c r="D303" s="8" t="s">
        <v>879</v>
      </c>
      <c r="E303" s="69" t="s">
        <v>880</v>
      </c>
      <c r="F303" s="8"/>
      <c r="G303" s="8" t="s">
        <v>62</v>
      </c>
      <c r="H303" s="8" t="s">
        <v>591</v>
      </c>
      <c r="I303" s="9">
        <v>1</v>
      </c>
      <c r="J303" s="8"/>
      <c r="K303" s="8"/>
      <c r="L303" s="8"/>
      <c r="M303" s="8"/>
      <c r="N303" s="8"/>
      <c r="O303" s="8"/>
      <c r="P303" s="60"/>
      <c r="R303" s="38" t="s">
        <v>1460</v>
      </c>
      <c r="S303" s="8" t="s">
        <v>1461</v>
      </c>
      <c r="T303" s="8" t="s">
        <v>1462</v>
      </c>
      <c r="U303" s="8" t="s">
        <v>1357</v>
      </c>
      <c r="V303" s="8" t="s">
        <v>1191</v>
      </c>
      <c r="W303" s="8">
        <v>2023</v>
      </c>
      <c r="X303" s="8" t="s">
        <v>9</v>
      </c>
      <c r="Y303" s="8" t="s">
        <v>1463</v>
      </c>
      <c r="Z303" s="503">
        <v>0</v>
      </c>
      <c r="AA303" s="8" t="s">
        <v>1464</v>
      </c>
    </row>
    <row r="304" spans="1:51" ht="28.5" customHeight="1">
      <c r="A304" s="8" t="s">
        <v>20</v>
      </c>
      <c r="B304" s="29" t="s">
        <v>587</v>
      </c>
      <c r="C304" s="8" t="s">
        <v>876</v>
      </c>
      <c r="D304" s="8" t="s">
        <v>881</v>
      </c>
      <c r="E304" s="69" t="s">
        <v>882</v>
      </c>
      <c r="F304" s="8"/>
      <c r="G304" s="8" t="s">
        <v>62</v>
      </c>
      <c r="H304" s="8" t="s">
        <v>591</v>
      </c>
      <c r="I304" s="9">
        <v>2</v>
      </c>
      <c r="J304" s="8"/>
      <c r="K304" s="8"/>
      <c r="L304" s="8"/>
      <c r="M304" s="8"/>
      <c r="N304" s="8"/>
      <c r="O304" s="8"/>
      <c r="P304" s="60"/>
      <c r="R304" s="38" t="s">
        <v>1460</v>
      </c>
      <c r="S304" s="8" t="s">
        <v>1461</v>
      </c>
      <c r="T304" s="8" t="s">
        <v>1462</v>
      </c>
      <c r="U304" s="8" t="s">
        <v>1357</v>
      </c>
      <c r="V304" s="8" t="s">
        <v>1191</v>
      </c>
      <c r="W304" s="8">
        <v>2023</v>
      </c>
      <c r="X304" s="8" t="s">
        <v>9</v>
      </c>
      <c r="Y304" s="8" t="s">
        <v>1463</v>
      </c>
      <c r="Z304" s="503">
        <v>0</v>
      </c>
      <c r="AA304" s="8" t="s">
        <v>1464</v>
      </c>
    </row>
    <row r="305" spans="1:27" s="26" customFormat="1" ht="28.5" customHeight="1">
      <c r="A305" s="8" t="s">
        <v>20</v>
      </c>
      <c r="B305" s="29" t="s">
        <v>587</v>
      </c>
      <c r="C305" s="8" t="s">
        <v>876</v>
      </c>
      <c r="D305" s="8" t="s">
        <v>883</v>
      </c>
      <c r="E305" s="69" t="s">
        <v>884</v>
      </c>
      <c r="F305" s="8"/>
      <c r="G305" s="8" t="s">
        <v>62</v>
      </c>
      <c r="H305" s="8" t="s">
        <v>591</v>
      </c>
      <c r="I305" s="9">
        <v>3</v>
      </c>
      <c r="J305" s="8"/>
      <c r="K305" s="8"/>
      <c r="L305" s="8"/>
      <c r="M305" s="8"/>
      <c r="N305" s="8"/>
      <c r="O305" s="8"/>
      <c r="P305" s="60"/>
      <c r="Q305" s="46"/>
      <c r="R305" s="38" t="s">
        <v>1460</v>
      </c>
      <c r="S305" s="8" t="s">
        <v>1461</v>
      </c>
      <c r="T305" s="8" t="s">
        <v>1462</v>
      </c>
      <c r="U305" s="8" t="s">
        <v>1357</v>
      </c>
      <c r="V305" s="8" t="s">
        <v>1191</v>
      </c>
      <c r="W305" s="8">
        <v>2023</v>
      </c>
      <c r="X305" s="8" t="s">
        <v>9</v>
      </c>
      <c r="Y305" s="8" t="s">
        <v>1463</v>
      </c>
      <c r="Z305" s="503">
        <v>0</v>
      </c>
      <c r="AA305" s="8" t="s">
        <v>1464</v>
      </c>
    </row>
    <row r="306" spans="1:27" s="26" customFormat="1" ht="28.5" customHeight="1">
      <c r="A306" s="8" t="s">
        <v>20</v>
      </c>
      <c r="B306" s="29" t="s">
        <v>587</v>
      </c>
      <c r="C306" s="8" t="s">
        <v>876</v>
      </c>
      <c r="D306" s="8" t="s">
        <v>885</v>
      </c>
      <c r="E306" s="69" t="s">
        <v>886</v>
      </c>
      <c r="F306" s="8"/>
      <c r="G306" s="8" t="s">
        <v>62</v>
      </c>
      <c r="H306" s="8" t="s">
        <v>591</v>
      </c>
      <c r="I306" s="9">
        <v>4</v>
      </c>
      <c r="J306" s="8"/>
      <c r="K306" s="8"/>
      <c r="L306" s="8"/>
      <c r="M306" s="8"/>
      <c r="N306" s="8"/>
      <c r="O306" s="8"/>
      <c r="P306" s="60"/>
      <c r="Q306" s="46"/>
      <c r="R306" s="38" t="s">
        <v>1460</v>
      </c>
      <c r="S306" s="8" t="s">
        <v>1461</v>
      </c>
      <c r="T306" s="8" t="s">
        <v>1462</v>
      </c>
      <c r="U306" s="8" t="s">
        <v>1357</v>
      </c>
      <c r="V306" s="8" t="s">
        <v>1191</v>
      </c>
      <c r="W306" s="8">
        <v>2023</v>
      </c>
      <c r="X306" s="8" t="s">
        <v>9</v>
      </c>
      <c r="Y306" s="8" t="s">
        <v>1463</v>
      </c>
      <c r="Z306" s="503">
        <v>0</v>
      </c>
      <c r="AA306" s="8" t="s">
        <v>1464</v>
      </c>
    </row>
    <row r="307" spans="1:27" s="26" customFormat="1" ht="28.5" customHeight="1">
      <c r="A307" s="8" t="s">
        <v>20</v>
      </c>
      <c r="B307" s="29" t="s">
        <v>587</v>
      </c>
      <c r="C307" s="8" t="s">
        <v>876</v>
      </c>
      <c r="D307" s="8" t="s">
        <v>887</v>
      </c>
      <c r="E307" s="69" t="s">
        <v>888</v>
      </c>
      <c r="F307" s="8"/>
      <c r="G307" s="8" t="s">
        <v>62</v>
      </c>
      <c r="H307" s="8" t="s">
        <v>591</v>
      </c>
      <c r="I307" s="9">
        <v>5</v>
      </c>
      <c r="J307" s="8"/>
      <c r="K307" s="8"/>
      <c r="L307" s="8"/>
      <c r="M307" s="8"/>
      <c r="N307" s="8"/>
      <c r="O307" s="8"/>
      <c r="P307" s="60"/>
      <c r="Q307" s="46"/>
      <c r="R307" s="38" t="s">
        <v>1460</v>
      </c>
      <c r="S307" s="8" t="s">
        <v>1461</v>
      </c>
      <c r="T307" s="8" t="s">
        <v>1462</v>
      </c>
      <c r="U307" s="8" t="s">
        <v>1357</v>
      </c>
      <c r="V307" s="8" t="s">
        <v>1191</v>
      </c>
      <c r="W307" s="8">
        <v>2023</v>
      </c>
      <c r="X307" s="8" t="s">
        <v>9</v>
      </c>
      <c r="Y307" s="8" t="s">
        <v>1463</v>
      </c>
      <c r="Z307" s="503">
        <v>0</v>
      </c>
      <c r="AA307" s="8" t="s">
        <v>1464</v>
      </c>
    </row>
    <row r="308" spans="1:27" s="26" customFormat="1" ht="56.25" hidden="1">
      <c r="A308" s="8" t="s">
        <v>20</v>
      </c>
      <c r="B308" s="29" t="s">
        <v>587</v>
      </c>
      <c r="C308" s="8" t="s">
        <v>876</v>
      </c>
      <c r="D308" s="8" t="s">
        <v>889</v>
      </c>
      <c r="E308" s="8" t="s">
        <v>890</v>
      </c>
      <c r="F308" s="8"/>
      <c r="G308" s="8" t="s">
        <v>58</v>
      </c>
      <c r="H308" s="8" t="s">
        <v>891</v>
      </c>
      <c r="I308" s="9">
        <v>0.5</v>
      </c>
      <c r="J308" s="8"/>
      <c r="K308" s="8"/>
      <c r="L308" s="8"/>
      <c r="M308" s="8"/>
      <c r="N308" s="8"/>
      <c r="O308" s="8"/>
      <c r="P308" s="60"/>
      <c r="Q308" s="46"/>
      <c r="R308" s="38"/>
      <c r="S308" s="8"/>
      <c r="T308" s="8"/>
      <c r="U308" s="8"/>
      <c r="V308" s="8"/>
      <c r="W308" s="8"/>
      <c r="X308" s="8"/>
      <c r="Y308" s="8"/>
      <c r="Z308" s="8"/>
      <c r="AA308" s="8"/>
    </row>
    <row r="309" spans="1:27" s="26" customFormat="1" ht="28.5" hidden="1" customHeight="1">
      <c r="A309" s="8" t="s">
        <v>20</v>
      </c>
      <c r="B309" s="29" t="s">
        <v>587</v>
      </c>
      <c r="C309" s="8" t="s">
        <v>876</v>
      </c>
      <c r="D309" s="8" t="s">
        <v>892</v>
      </c>
      <c r="E309" s="8" t="s">
        <v>893</v>
      </c>
      <c r="F309" s="8"/>
      <c r="G309" s="8" t="s">
        <v>62</v>
      </c>
      <c r="H309" s="8" t="s">
        <v>894</v>
      </c>
      <c r="I309" s="9">
        <v>1</v>
      </c>
      <c r="J309" s="8"/>
      <c r="K309" s="8"/>
      <c r="L309" s="8"/>
      <c r="M309" s="8"/>
      <c r="N309" s="8"/>
      <c r="O309" s="8"/>
      <c r="P309" s="60"/>
      <c r="Q309" s="46"/>
      <c r="R309" s="38"/>
      <c r="S309" s="8"/>
      <c r="T309" s="8"/>
      <c r="U309" s="8"/>
      <c r="V309" s="8"/>
      <c r="W309" s="8"/>
      <c r="X309" s="8"/>
      <c r="Y309" s="8"/>
      <c r="Z309" s="503"/>
      <c r="AA309" s="8"/>
    </row>
    <row r="310" spans="1:27" s="26" customFormat="1" ht="28.5" hidden="1" customHeight="1">
      <c r="A310" s="8" t="s">
        <v>20</v>
      </c>
      <c r="B310" s="29" t="s">
        <v>587</v>
      </c>
      <c r="C310" s="8" t="s">
        <v>876</v>
      </c>
      <c r="D310" s="8" t="s">
        <v>895</v>
      </c>
      <c r="E310" s="8" t="s">
        <v>896</v>
      </c>
      <c r="F310" s="8"/>
      <c r="G310" s="8" t="s">
        <v>62</v>
      </c>
      <c r="H310" s="8" t="s">
        <v>894</v>
      </c>
      <c r="I310" s="9">
        <v>1</v>
      </c>
      <c r="J310" s="8"/>
      <c r="K310" s="8"/>
      <c r="L310" s="8"/>
      <c r="M310" s="8"/>
      <c r="N310" s="8"/>
      <c r="O310" s="8"/>
      <c r="P310" s="60"/>
      <c r="Q310" s="46"/>
      <c r="R310" s="38"/>
      <c r="S310" s="8"/>
      <c r="T310" s="8"/>
      <c r="U310" s="8"/>
      <c r="V310" s="8"/>
      <c r="W310" s="8"/>
      <c r="X310" s="8"/>
      <c r="Y310" s="8"/>
      <c r="Z310" s="503"/>
      <c r="AA310" s="8"/>
    </row>
    <row r="311" spans="1:27" s="26" customFormat="1" ht="28.5" hidden="1" customHeight="1">
      <c r="A311" s="8" t="s">
        <v>20</v>
      </c>
      <c r="B311" s="29" t="s">
        <v>587</v>
      </c>
      <c r="C311" s="8" t="s">
        <v>897</v>
      </c>
      <c r="D311" s="8" t="s">
        <v>898</v>
      </c>
      <c r="E311" s="8" t="s">
        <v>899</v>
      </c>
      <c r="F311" s="8"/>
      <c r="G311" s="8" t="s">
        <v>62</v>
      </c>
      <c r="H311" s="8" t="s">
        <v>735</v>
      </c>
      <c r="I311" s="9">
        <v>1</v>
      </c>
      <c r="J311" s="8"/>
      <c r="K311" s="8"/>
      <c r="L311" s="8"/>
      <c r="M311" s="8"/>
      <c r="N311" s="8"/>
      <c r="O311" s="8"/>
      <c r="P311" s="60"/>
      <c r="Q311" s="46"/>
      <c r="R311" s="38"/>
      <c r="S311" s="8"/>
      <c r="T311" s="8"/>
      <c r="U311" s="8"/>
      <c r="V311" s="8"/>
      <c r="W311" s="8"/>
      <c r="X311" s="8"/>
      <c r="Y311" s="8"/>
      <c r="Z311" s="503"/>
      <c r="AA311" s="8"/>
    </row>
    <row r="312" spans="1:27" s="26" customFormat="1" ht="28.5" hidden="1" customHeight="1">
      <c r="A312" s="8" t="s">
        <v>20</v>
      </c>
      <c r="B312" s="29" t="s">
        <v>587</v>
      </c>
      <c r="C312" s="8" t="s">
        <v>897</v>
      </c>
      <c r="D312" s="8" t="s">
        <v>900</v>
      </c>
      <c r="E312" s="8" t="s">
        <v>899</v>
      </c>
      <c r="F312" s="8"/>
      <c r="G312" s="8" t="s">
        <v>62</v>
      </c>
      <c r="H312" s="8" t="s">
        <v>428</v>
      </c>
      <c r="I312" s="9">
        <v>1</v>
      </c>
      <c r="J312" s="8"/>
      <c r="K312" s="8"/>
      <c r="L312" s="8"/>
      <c r="M312" s="8"/>
      <c r="N312" s="8"/>
      <c r="O312" s="8"/>
      <c r="P312" s="60"/>
      <c r="Q312" s="46"/>
      <c r="R312" s="38"/>
      <c r="S312" s="8"/>
      <c r="T312" s="8"/>
      <c r="U312" s="8"/>
      <c r="V312" s="8"/>
      <c r="W312" s="8"/>
      <c r="X312" s="8"/>
      <c r="Y312" s="8"/>
      <c r="Z312" s="503"/>
      <c r="AA312" s="8"/>
    </row>
    <row r="313" spans="1:27" s="26" customFormat="1" ht="28.5" hidden="1" customHeight="1">
      <c r="A313" s="8" t="s">
        <v>20</v>
      </c>
      <c r="B313" s="29" t="s">
        <v>587</v>
      </c>
      <c r="C313" s="8" t="s">
        <v>901</v>
      </c>
      <c r="D313" s="8" t="s">
        <v>902</v>
      </c>
      <c r="E313" s="8" t="s">
        <v>903</v>
      </c>
      <c r="F313" s="8"/>
      <c r="G313" s="8" t="s">
        <v>62</v>
      </c>
      <c r="H313" s="8" t="s">
        <v>623</v>
      </c>
      <c r="I313" s="9">
        <v>1</v>
      </c>
      <c r="J313" s="8"/>
      <c r="K313" s="8"/>
      <c r="L313" s="8"/>
      <c r="M313" s="8"/>
      <c r="N313" s="8"/>
      <c r="O313" s="8"/>
      <c r="P313" s="60"/>
      <c r="Q313" s="46"/>
      <c r="R313" s="38"/>
      <c r="S313" s="8"/>
      <c r="T313" s="8"/>
      <c r="U313" s="8"/>
      <c r="V313" s="8"/>
      <c r="W313" s="8"/>
      <c r="X313" s="8"/>
      <c r="Y313" s="8"/>
      <c r="Z313" s="503"/>
      <c r="AA313" s="8"/>
    </row>
    <row r="314" spans="1:27" s="26" customFormat="1" ht="28.5" hidden="1" customHeight="1">
      <c r="A314" s="8" t="s">
        <v>20</v>
      </c>
      <c r="B314" s="29" t="s">
        <v>587</v>
      </c>
      <c r="C314" s="8" t="s">
        <v>901</v>
      </c>
      <c r="D314" s="8" t="s">
        <v>904</v>
      </c>
      <c r="E314" s="8" t="s">
        <v>905</v>
      </c>
      <c r="F314" s="8"/>
      <c r="G314" s="8" t="s">
        <v>62</v>
      </c>
      <c r="H314" s="8" t="s">
        <v>742</v>
      </c>
      <c r="I314" s="9">
        <v>0.5</v>
      </c>
      <c r="J314" s="8"/>
      <c r="K314" s="8"/>
      <c r="L314" s="8"/>
      <c r="M314" s="8"/>
      <c r="N314" s="8"/>
      <c r="O314" s="8"/>
      <c r="P314" s="60"/>
      <c r="Q314" s="46"/>
      <c r="R314" s="38"/>
      <c r="S314" s="8"/>
      <c r="T314" s="8"/>
      <c r="U314" s="8"/>
      <c r="V314" s="8"/>
      <c r="W314" s="8"/>
      <c r="X314" s="8"/>
      <c r="Y314" s="8"/>
      <c r="Z314" s="503"/>
      <c r="AA314" s="8"/>
    </row>
    <row r="315" spans="1:27" s="26" customFormat="1" ht="78.75" hidden="1">
      <c r="A315" s="8" t="s">
        <v>20</v>
      </c>
      <c r="B315" s="29" t="s">
        <v>587</v>
      </c>
      <c r="C315" s="8" t="s">
        <v>901</v>
      </c>
      <c r="D315" s="8" t="s">
        <v>906</v>
      </c>
      <c r="E315" s="8" t="s">
        <v>907</v>
      </c>
      <c r="F315" s="8"/>
      <c r="G315" s="8" t="s">
        <v>58</v>
      </c>
      <c r="H315" s="8" t="s">
        <v>745</v>
      </c>
      <c r="I315" s="9">
        <v>0.5</v>
      </c>
      <c r="J315" s="8"/>
      <c r="K315" s="8"/>
      <c r="L315" s="8"/>
      <c r="M315" s="8"/>
      <c r="N315" s="8"/>
      <c r="O315" s="8"/>
      <c r="P315" s="60"/>
      <c r="Q315" s="46"/>
      <c r="R315" s="38"/>
      <c r="S315" s="8"/>
      <c r="T315" s="8"/>
      <c r="U315" s="8"/>
      <c r="V315" s="8"/>
      <c r="W315" s="8"/>
      <c r="X315" s="8"/>
      <c r="Y315" s="8"/>
      <c r="Z315" s="8"/>
      <c r="AA315" s="8"/>
    </row>
    <row r="316" spans="1:27" s="26" customFormat="1" ht="28.5" hidden="1" customHeight="1">
      <c r="A316" s="8" t="s">
        <v>20</v>
      </c>
      <c r="B316" s="29" t="s">
        <v>587</v>
      </c>
      <c r="C316" s="8" t="s">
        <v>908</v>
      </c>
      <c r="D316" s="8" t="s">
        <v>909</v>
      </c>
      <c r="E316" s="8" t="s">
        <v>910</v>
      </c>
      <c r="F316" s="8"/>
      <c r="G316" s="8" t="s">
        <v>62</v>
      </c>
      <c r="H316" s="8" t="s">
        <v>911</v>
      </c>
      <c r="I316" s="9">
        <v>0.5</v>
      </c>
      <c r="J316" s="8"/>
      <c r="K316" s="8"/>
      <c r="L316" s="8"/>
      <c r="M316" s="8"/>
      <c r="N316" s="8"/>
      <c r="O316" s="8"/>
      <c r="P316" s="60"/>
      <c r="Q316" s="46"/>
      <c r="R316" s="38"/>
      <c r="S316" s="8"/>
      <c r="T316" s="8"/>
      <c r="U316" s="8"/>
      <c r="V316" s="8"/>
      <c r="W316" s="8"/>
      <c r="X316" s="8"/>
      <c r="Y316" s="8"/>
      <c r="Z316" s="503"/>
      <c r="AA316" s="8"/>
    </row>
    <row r="317" spans="1:27" s="26" customFormat="1" ht="28.5" hidden="1" customHeight="1">
      <c r="A317" s="8" t="s">
        <v>20</v>
      </c>
      <c r="B317" s="29" t="s">
        <v>587</v>
      </c>
      <c r="C317" s="8" t="s">
        <v>908</v>
      </c>
      <c r="D317" s="8" t="s">
        <v>912</v>
      </c>
      <c r="E317" s="8" t="s">
        <v>913</v>
      </c>
      <c r="F317" s="8"/>
      <c r="G317" s="8" t="s">
        <v>62</v>
      </c>
      <c r="H317" s="8" t="s">
        <v>859</v>
      </c>
      <c r="I317" s="9">
        <v>0.5</v>
      </c>
      <c r="J317" s="8"/>
      <c r="K317" s="8"/>
      <c r="L317" s="8"/>
      <c r="M317" s="8"/>
      <c r="N317" s="8"/>
      <c r="O317" s="8"/>
      <c r="P317" s="60"/>
      <c r="Q317" s="46"/>
      <c r="R317" s="38"/>
      <c r="S317" s="8"/>
      <c r="T317" s="8"/>
      <c r="U317" s="8"/>
      <c r="V317" s="8"/>
      <c r="W317" s="8"/>
      <c r="X317" s="8"/>
      <c r="Y317" s="8"/>
      <c r="Z317" s="503"/>
      <c r="AA317" s="8"/>
    </row>
    <row r="318" spans="1:27" s="26" customFormat="1" ht="28.5" hidden="1" customHeight="1">
      <c r="A318" s="8" t="s">
        <v>20</v>
      </c>
      <c r="B318" s="29" t="s">
        <v>587</v>
      </c>
      <c r="C318" s="8" t="s">
        <v>908</v>
      </c>
      <c r="D318" s="8" t="s">
        <v>914</v>
      </c>
      <c r="E318" s="8" t="s">
        <v>915</v>
      </c>
      <c r="F318" s="8"/>
      <c r="G318" s="8" t="s">
        <v>62</v>
      </c>
      <c r="H318" s="8" t="s">
        <v>916</v>
      </c>
      <c r="I318" s="9">
        <v>0.5</v>
      </c>
      <c r="J318" s="8"/>
      <c r="K318" s="8"/>
      <c r="L318" s="8"/>
      <c r="M318" s="8"/>
      <c r="N318" s="8"/>
      <c r="O318" s="8"/>
      <c r="P318" s="60"/>
      <c r="Q318" s="46"/>
      <c r="R318" s="38"/>
      <c r="S318" s="8"/>
      <c r="T318" s="8"/>
      <c r="U318" s="8"/>
      <c r="V318" s="8"/>
      <c r="W318" s="8"/>
      <c r="X318" s="8"/>
      <c r="Y318" s="8"/>
      <c r="Z318" s="503"/>
      <c r="AA318" s="8"/>
    </row>
    <row r="319" spans="1:27" s="26" customFormat="1" ht="28.5" hidden="1" customHeight="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515"/>
      <c r="AA319" s="113"/>
    </row>
    <row r="320" spans="1:27" s="26" customFormat="1" ht="28.5" hidden="1" customHeight="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Q320" s="46"/>
      <c r="R320" s="39"/>
      <c r="S320" s="20"/>
      <c r="T320" s="20"/>
      <c r="U320" s="20"/>
      <c r="V320" s="20"/>
      <c r="W320" s="20"/>
      <c r="X320" s="20"/>
      <c r="Y320" s="20"/>
      <c r="Z320" s="504"/>
      <c r="AA320" s="20"/>
    </row>
    <row r="321" spans="1:51" ht="28.5" hidden="1" customHeight="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503"/>
      <c r="AA321" s="8"/>
    </row>
    <row r="322" spans="1:51" ht="28.5" hidden="1" customHeight="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503"/>
      <c r="AA322" s="8"/>
    </row>
    <row r="323" spans="1:51" ht="28.5" hidden="1" customHeight="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503"/>
      <c r="AA323" s="8"/>
    </row>
    <row r="324" spans="1:51" ht="28.5" hidden="1" customHeight="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504"/>
      <c r="AA324" s="20"/>
    </row>
    <row r="325" spans="1:51" ht="28.5" customHeight="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t="s">
        <v>1543</v>
      </c>
      <c r="S325" s="8" t="s">
        <v>1544</v>
      </c>
      <c r="T325" s="8" t="s">
        <v>1545</v>
      </c>
      <c r="U325" s="8" t="s">
        <v>1357</v>
      </c>
      <c r="V325" s="8" t="s">
        <v>8</v>
      </c>
      <c r="W325" s="8">
        <v>2023</v>
      </c>
      <c r="X325" s="8" t="s">
        <v>10</v>
      </c>
      <c r="Y325" s="8" t="s">
        <v>1546</v>
      </c>
      <c r="Z325" s="503">
        <f>16000+50000*0.93</f>
        <v>62500</v>
      </c>
      <c r="AA325" s="8" t="s">
        <v>1547</v>
      </c>
    </row>
    <row r="326" spans="1:51" ht="28.5" customHeight="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t="s">
        <v>1543</v>
      </c>
      <c r="S326" s="8" t="s">
        <v>1544</v>
      </c>
      <c r="T326" s="8" t="s">
        <v>1545</v>
      </c>
      <c r="U326" s="8" t="s">
        <v>1357</v>
      </c>
      <c r="V326" s="8" t="s">
        <v>8</v>
      </c>
      <c r="W326" s="8">
        <v>2023</v>
      </c>
      <c r="X326" s="8" t="s">
        <v>10</v>
      </c>
      <c r="Y326" s="8" t="s">
        <v>1546</v>
      </c>
      <c r="Z326" s="503">
        <v>0</v>
      </c>
      <c r="AA326" s="8" t="s">
        <v>1548</v>
      </c>
    </row>
    <row r="327" spans="1:51" ht="28.5" hidden="1" customHeight="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503"/>
      <c r="AA327" s="8"/>
    </row>
    <row r="328" spans="1:51" ht="28.5" customHeight="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t="s">
        <v>1549</v>
      </c>
      <c r="S328" s="8" t="s">
        <v>1417</v>
      </c>
      <c r="T328" s="8" t="s">
        <v>1550</v>
      </c>
      <c r="U328" s="8" t="s">
        <v>1357</v>
      </c>
      <c r="V328" s="8" t="s">
        <v>8</v>
      </c>
      <c r="W328" s="8">
        <v>2023</v>
      </c>
      <c r="X328" s="8" t="s">
        <v>9</v>
      </c>
      <c r="Y328" s="8" t="s">
        <v>1551</v>
      </c>
      <c r="Z328" s="503">
        <v>70000</v>
      </c>
      <c r="AA328" s="8" t="s">
        <v>1552</v>
      </c>
    </row>
    <row r="329" spans="1:51" ht="28.5"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503"/>
      <c r="AA329" s="8"/>
    </row>
    <row r="330" spans="1:51" ht="28.5"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503"/>
      <c r="AA330" s="8"/>
    </row>
    <row r="331" spans="1:51" ht="28.5"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503"/>
      <c r="AA331" s="8"/>
    </row>
    <row r="332" spans="1:51" s="5" customFormat="1" ht="31.5">
      <c r="A332" s="20" t="s">
        <v>22</v>
      </c>
      <c r="B332" s="32" t="s">
        <v>54</v>
      </c>
      <c r="C332" s="24" t="s">
        <v>947</v>
      </c>
      <c r="D332" s="19" t="s">
        <v>582</v>
      </c>
      <c r="E332" s="24" t="s">
        <v>582</v>
      </c>
      <c r="F332" s="24" t="s">
        <v>582</v>
      </c>
      <c r="G332" s="19" t="s">
        <v>582</v>
      </c>
      <c r="H332" s="19" t="s">
        <v>582</v>
      </c>
      <c r="I332" s="19" t="s">
        <v>582</v>
      </c>
      <c r="J332" s="19" t="s">
        <v>582</v>
      </c>
      <c r="K332" s="19" t="s">
        <v>582</v>
      </c>
      <c r="L332" s="19" t="s">
        <v>582</v>
      </c>
      <c r="M332" s="19" t="s">
        <v>582</v>
      </c>
      <c r="N332" s="19" t="s">
        <v>582</v>
      </c>
      <c r="O332" s="19" t="s">
        <v>582</v>
      </c>
      <c r="P332" s="19" t="s">
        <v>582</v>
      </c>
      <c r="Q332" s="48"/>
      <c r="R332" s="44" t="s">
        <v>582</v>
      </c>
      <c r="S332" s="19" t="s">
        <v>582</v>
      </c>
      <c r="T332" s="19" t="s">
        <v>582</v>
      </c>
      <c r="U332" s="19"/>
      <c r="V332" s="19" t="s">
        <v>582</v>
      </c>
      <c r="W332" s="19" t="s">
        <v>582</v>
      </c>
      <c r="X332" s="19" t="s">
        <v>582</v>
      </c>
      <c r="Y332" s="19" t="s">
        <v>582</v>
      </c>
      <c r="Z332" s="19" t="s">
        <v>582</v>
      </c>
      <c r="AA332" s="19" t="s">
        <v>582</v>
      </c>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28.5"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t="s">
        <v>1553</v>
      </c>
      <c r="S333" s="8" t="s">
        <v>1554</v>
      </c>
      <c r="T333" s="8" t="s">
        <v>1555</v>
      </c>
      <c r="U333" s="8" t="s">
        <v>1357</v>
      </c>
      <c r="V333" s="8" t="s">
        <v>1191</v>
      </c>
      <c r="W333" s="8">
        <v>2023</v>
      </c>
      <c r="X333" s="8" t="s">
        <v>10</v>
      </c>
      <c r="Y333" s="8" t="s">
        <v>1556</v>
      </c>
      <c r="Z333" s="503">
        <v>0</v>
      </c>
      <c r="AA333" s="8" t="s">
        <v>1557</v>
      </c>
    </row>
    <row r="334" spans="1:51" ht="28.5"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t="s">
        <v>1553</v>
      </c>
      <c r="S334" s="8" t="s">
        <v>1554</v>
      </c>
      <c r="T334" s="8" t="s">
        <v>1555</v>
      </c>
      <c r="U334" s="8" t="s">
        <v>1357</v>
      </c>
      <c r="V334" s="8" t="s">
        <v>1191</v>
      </c>
      <c r="W334" s="8">
        <v>2023</v>
      </c>
      <c r="X334" s="8" t="s">
        <v>10</v>
      </c>
      <c r="Y334" s="8" t="s">
        <v>1556</v>
      </c>
      <c r="Z334" s="503">
        <v>0</v>
      </c>
      <c r="AA334" s="8" t="s">
        <v>1557</v>
      </c>
    </row>
    <row r="335" spans="1:51" s="5" customFormat="1" ht="47.25">
      <c r="A335" s="20" t="s">
        <v>22</v>
      </c>
      <c r="B335" s="32" t="s">
        <v>195</v>
      </c>
      <c r="C335" s="24" t="s">
        <v>956</v>
      </c>
      <c r="D335" s="19" t="s">
        <v>582</v>
      </c>
      <c r="E335" s="24" t="s">
        <v>582</v>
      </c>
      <c r="F335" s="24" t="s">
        <v>582</v>
      </c>
      <c r="G335" s="19" t="s">
        <v>582</v>
      </c>
      <c r="H335" s="19" t="s">
        <v>582</v>
      </c>
      <c r="I335" s="19" t="s">
        <v>582</v>
      </c>
      <c r="J335" s="19" t="s">
        <v>582</v>
      </c>
      <c r="K335" s="19" t="s">
        <v>582</v>
      </c>
      <c r="L335" s="19" t="s">
        <v>582</v>
      </c>
      <c r="M335" s="19" t="s">
        <v>582</v>
      </c>
      <c r="N335" s="19" t="s">
        <v>582</v>
      </c>
      <c r="O335" s="19" t="s">
        <v>582</v>
      </c>
      <c r="P335" s="19" t="s">
        <v>582</v>
      </c>
      <c r="Q335" s="48"/>
      <c r="R335" s="44" t="s">
        <v>582</v>
      </c>
      <c r="S335" s="19" t="s">
        <v>582</v>
      </c>
      <c r="T335" s="19" t="s">
        <v>582</v>
      </c>
      <c r="U335" s="19"/>
      <c r="V335" s="19" t="s">
        <v>582</v>
      </c>
      <c r="W335" s="19" t="s">
        <v>582</v>
      </c>
      <c r="X335" s="19" t="s">
        <v>582</v>
      </c>
      <c r="Y335" s="19" t="s">
        <v>582</v>
      </c>
      <c r="Z335" s="19" t="s">
        <v>582</v>
      </c>
      <c r="AA335" s="19" t="s">
        <v>582</v>
      </c>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28.5" customHeight="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t="s">
        <v>1558</v>
      </c>
      <c r="S336" s="8" t="s">
        <v>1559</v>
      </c>
      <c r="T336" s="8" t="s">
        <v>1560</v>
      </c>
      <c r="U336" s="8" t="s">
        <v>1357</v>
      </c>
      <c r="V336" s="8" t="s">
        <v>1191</v>
      </c>
      <c r="W336" s="8">
        <v>2023</v>
      </c>
      <c r="X336" s="8" t="s">
        <v>9</v>
      </c>
      <c r="Y336" s="8" t="s">
        <v>1561</v>
      </c>
      <c r="Z336" s="503">
        <f>42000+36750*0.93</f>
        <v>76177.5</v>
      </c>
      <c r="AA336" s="8" t="s">
        <v>1562</v>
      </c>
    </row>
    <row r="337" spans="1:51" ht="28.5"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503"/>
      <c r="AA337" s="8"/>
    </row>
    <row r="338" spans="1:51" ht="28.5"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503"/>
      <c r="AA338" s="8"/>
    </row>
    <row r="339" spans="1:51" ht="28.5" hidden="1" customHeight="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503"/>
      <c r="AA339" s="8"/>
    </row>
    <row r="340" spans="1:51" ht="28.5"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503"/>
      <c r="AA340" s="8"/>
    </row>
    <row r="341" spans="1:51" ht="28.5"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t="s">
        <v>1460</v>
      </c>
      <c r="S341" s="8" t="s">
        <v>1461</v>
      </c>
      <c r="T341" s="8" t="s">
        <v>1462</v>
      </c>
      <c r="U341" s="8" t="s">
        <v>1357</v>
      </c>
      <c r="V341" s="8" t="s">
        <v>1191</v>
      </c>
      <c r="W341" s="8">
        <v>2023</v>
      </c>
      <c r="X341" s="8" t="s">
        <v>9</v>
      </c>
      <c r="Y341" s="8" t="s">
        <v>1463</v>
      </c>
      <c r="Z341" s="503">
        <v>0</v>
      </c>
      <c r="AA341" s="8" t="s">
        <v>1464</v>
      </c>
    </row>
    <row r="342" spans="1:51" s="5" customFormat="1" ht="78.75" hidden="1">
      <c r="A342" s="20" t="s">
        <v>22</v>
      </c>
      <c r="B342" s="32" t="s">
        <v>274</v>
      </c>
      <c r="C342" s="24" t="s">
        <v>975</v>
      </c>
      <c r="D342" s="24" t="s">
        <v>582</v>
      </c>
      <c r="E342" s="24" t="s">
        <v>582</v>
      </c>
      <c r="F342" s="24" t="s">
        <v>582</v>
      </c>
      <c r="G342" s="24" t="s">
        <v>582</v>
      </c>
      <c r="H342" s="24" t="s">
        <v>582</v>
      </c>
      <c r="I342" s="24" t="s">
        <v>582</v>
      </c>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t="s">
        <v>582</v>
      </c>
      <c r="E343" s="24" t="s">
        <v>582</v>
      </c>
      <c r="F343" s="24" t="s">
        <v>582</v>
      </c>
      <c r="G343" s="24" t="s">
        <v>582</v>
      </c>
      <c r="H343" s="24" t="s">
        <v>582</v>
      </c>
      <c r="I343" s="24" t="s">
        <v>582</v>
      </c>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28.5" hidden="1" customHeight="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503"/>
      <c r="AA344" s="8"/>
    </row>
    <row r="345" spans="1:51" ht="28.5" customHeight="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t="s">
        <v>1558</v>
      </c>
      <c r="S345" s="8" t="s">
        <v>1559</v>
      </c>
      <c r="T345" s="8" t="s">
        <v>1560</v>
      </c>
      <c r="U345" s="8" t="s">
        <v>1357</v>
      </c>
      <c r="V345" s="8" t="s">
        <v>1191</v>
      </c>
      <c r="W345" s="8">
        <v>2023</v>
      </c>
      <c r="X345" s="8" t="s">
        <v>9</v>
      </c>
      <c r="Y345" s="8" t="s">
        <v>1561</v>
      </c>
      <c r="Z345" s="503">
        <v>0</v>
      </c>
      <c r="AA345" s="8" t="s">
        <v>1563</v>
      </c>
    </row>
    <row r="346" spans="1:51" ht="28.5" hidden="1" customHeight="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8"/>
      <c r="S346" s="8"/>
      <c r="T346" s="8"/>
      <c r="U346" s="8"/>
      <c r="V346" s="8"/>
      <c r="W346" s="8"/>
      <c r="X346" s="8"/>
      <c r="Y346" s="8"/>
      <c r="Z346" s="503"/>
      <c r="AA346" s="8"/>
    </row>
    <row r="347" spans="1:51" ht="28.5" customHeight="1">
      <c r="A347" s="8" t="s">
        <v>22</v>
      </c>
      <c r="B347" s="31" t="s">
        <v>587</v>
      </c>
      <c r="C347" s="18" t="s">
        <v>984</v>
      </c>
      <c r="D347" s="18" t="s">
        <v>987</v>
      </c>
      <c r="E347" s="69" t="s">
        <v>988</v>
      </c>
      <c r="F347" s="8"/>
      <c r="G347" s="18" t="s">
        <v>62</v>
      </c>
      <c r="H347" s="18" t="s">
        <v>591</v>
      </c>
      <c r="I347" s="23">
        <v>1</v>
      </c>
      <c r="J347" s="8"/>
      <c r="K347" s="8"/>
      <c r="L347" s="8"/>
      <c r="M347" s="8"/>
      <c r="N347" s="8"/>
      <c r="O347" s="8"/>
      <c r="P347" s="60"/>
      <c r="R347" s="38" t="s">
        <v>1549</v>
      </c>
      <c r="S347" s="8" t="s">
        <v>1417</v>
      </c>
      <c r="T347" s="8" t="s">
        <v>1550</v>
      </c>
      <c r="U347" s="8" t="s">
        <v>1357</v>
      </c>
      <c r="V347" s="8" t="s">
        <v>8</v>
      </c>
      <c r="W347" s="8">
        <v>2023</v>
      </c>
      <c r="X347" s="8" t="s">
        <v>9</v>
      </c>
      <c r="Y347" s="8" t="s">
        <v>1551</v>
      </c>
      <c r="Z347" s="503">
        <v>0</v>
      </c>
      <c r="AA347" s="8" t="s">
        <v>1564</v>
      </c>
    </row>
    <row r="348" spans="1:51" ht="28.5" customHeight="1">
      <c r="A348" s="8" t="s">
        <v>22</v>
      </c>
      <c r="B348" s="31" t="s">
        <v>587</v>
      </c>
      <c r="C348" s="18" t="s">
        <v>984</v>
      </c>
      <c r="D348" s="18" t="s">
        <v>989</v>
      </c>
      <c r="E348" s="69" t="s">
        <v>990</v>
      </c>
      <c r="F348" s="8"/>
      <c r="G348" s="18" t="s">
        <v>62</v>
      </c>
      <c r="H348" s="18" t="s">
        <v>591</v>
      </c>
      <c r="I348" s="23">
        <v>1</v>
      </c>
      <c r="J348" s="8"/>
      <c r="K348" s="8"/>
      <c r="L348" s="8"/>
      <c r="M348" s="8"/>
      <c r="N348" s="8"/>
      <c r="O348" s="8"/>
      <c r="P348" s="60"/>
      <c r="R348" s="38" t="s">
        <v>1549</v>
      </c>
      <c r="S348" s="8" t="s">
        <v>1417</v>
      </c>
      <c r="T348" s="8" t="s">
        <v>1550</v>
      </c>
      <c r="U348" s="8" t="s">
        <v>1357</v>
      </c>
      <c r="V348" s="8" t="s">
        <v>8</v>
      </c>
      <c r="W348" s="8">
        <v>2023</v>
      </c>
      <c r="X348" s="8" t="s">
        <v>9</v>
      </c>
      <c r="Y348" s="8" t="s">
        <v>1551</v>
      </c>
      <c r="Z348" s="503">
        <v>0</v>
      </c>
      <c r="AA348" s="8" t="s">
        <v>1564</v>
      </c>
    </row>
    <row r="349" spans="1:51" ht="28.5" customHeight="1">
      <c r="A349" s="8" t="s">
        <v>22</v>
      </c>
      <c r="B349" s="31" t="s">
        <v>587</v>
      </c>
      <c r="C349" s="18" t="s">
        <v>984</v>
      </c>
      <c r="D349" s="18" t="s">
        <v>991</v>
      </c>
      <c r="E349" s="69" t="s">
        <v>992</v>
      </c>
      <c r="F349" s="8"/>
      <c r="G349" s="18" t="s">
        <v>62</v>
      </c>
      <c r="H349" s="18" t="s">
        <v>591</v>
      </c>
      <c r="I349" s="23">
        <v>1</v>
      </c>
      <c r="J349" s="8"/>
      <c r="K349" s="8"/>
      <c r="L349" s="8"/>
      <c r="M349" s="8"/>
      <c r="N349" s="8"/>
      <c r="O349" s="8"/>
      <c r="P349" s="60"/>
      <c r="R349" s="38" t="s">
        <v>1543</v>
      </c>
      <c r="S349" s="8" t="s">
        <v>1544</v>
      </c>
      <c r="T349" s="8" t="s">
        <v>1545</v>
      </c>
      <c r="U349" s="8" t="s">
        <v>1357</v>
      </c>
      <c r="V349" s="8" t="s">
        <v>8</v>
      </c>
      <c r="W349" s="8">
        <v>2023</v>
      </c>
      <c r="X349" s="8" t="s">
        <v>10</v>
      </c>
      <c r="Y349" s="8" t="s">
        <v>1546</v>
      </c>
      <c r="Z349" s="503">
        <v>0</v>
      </c>
      <c r="AA349" s="8" t="s">
        <v>1548</v>
      </c>
    </row>
    <row r="350" spans="1:51" ht="28.5" customHeight="1">
      <c r="A350" s="8" t="s">
        <v>22</v>
      </c>
      <c r="B350" s="31" t="s">
        <v>587</v>
      </c>
      <c r="C350" s="18" t="s">
        <v>984</v>
      </c>
      <c r="D350" s="18" t="s">
        <v>993</v>
      </c>
      <c r="E350" s="69" t="s">
        <v>994</v>
      </c>
      <c r="F350" s="8"/>
      <c r="G350" s="18" t="s">
        <v>62</v>
      </c>
      <c r="H350" s="18" t="s">
        <v>591</v>
      </c>
      <c r="I350" s="23">
        <v>1</v>
      </c>
      <c r="J350" s="8"/>
      <c r="K350" s="8"/>
      <c r="L350" s="8"/>
      <c r="M350" s="8"/>
      <c r="N350" s="8"/>
      <c r="O350" s="8"/>
      <c r="P350" s="60"/>
      <c r="R350" s="38" t="s">
        <v>1565</v>
      </c>
      <c r="S350" s="8" t="s">
        <v>1566</v>
      </c>
      <c r="T350" s="8" t="s">
        <v>1567</v>
      </c>
      <c r="U350" s="8" t="s">
        <v>1357</v>
      </c>
      <c r="V350" s="8" t="s">
        <v>8</v>
      </c>
      <c r="W350" s="8">
        <v>2023</v>
      </c>
      <c r="X350" s="8" t="s">
        <v>10</v>
      </c>
      <c r="Y350" s="8" t="s">
        <v>1568</v>
      </c>
      <c r="Z350" s="503">
        <v>0</v>
      </c>
      <c r="AA350" s="8" t="s">
        <v>1569</v>
      </c>
    </row>
    <row r="351" spans="1:51" ht="28.5" customHeight="1">
      <c r="A351" s="8" t="s">
        <v>22</v>
      </c>
      <c r="B351" s="31" t="s">
        <v>587</v>
      </c>
      <c r="C351" s="18" t="s">
        <v>984</v>
      </c>
      <c r="D351" s="18" t="s">
        <v>995</v>
      </c>
      <c r="E351" s="69" t="s">
        <v>996</v>
      </c>
      <c r="F351" s="8"/>
      <c r="G351" s="18" t="s">
        <v>62</v>
      </c>
      <c r="H351" s="18" t="s">
        <v>591</v>
      </c>
      <c r="I351" s="23">
        <v>1</v>
      </c>
      <c r="J351" s="8"/>
      <c r="K351" s="8"/>
      <c r="L351" s="8"/>
      <c r="M351" s="8"/>
      <c r="N351" s="8"/>
      <c r="O351" s="8"/>
      <c r="P351" s="60"/>
      <c r="R351" s="38" t="s">
        <v>1565</v>
      </c>
      <c r="S351" s="8" t="s">
        <v>1566</v>
      </c>
      <c r="T351" s="8" t="s">
        <v>1567</v>
      </c>
      <c r="U351" s="8" t="s">
        <v>1357</v>
      </c>
      <c r="V351" s="8" t="s">
        <v>8</v>
      </c>
      <c r="W351" s="8">
        <v>2023</v>
      </c>
      <c r="X351" s="8" t="s">
        <v>10</v>
      </c>
      <c r="Y351" s="8" t="s">
        <v>1568</v>
      </c>
      <c r="Z351" s="503">
        <v>0</v>
      </c>
      <c r="AA351" s="8" t="s">
        <v>1569</v>
      </c>
    </row>
    <row r="352" spans="1:51" ht="28.5" customHeight="1">
      <c r="A352" s="8" t="s">
        <v>22</v>
      </c>
      <c r="B352" s="31" t="s">
        <v>587</v>
      </c>
      <c r="C352" s="18" t="s">
        <v>984</v>
      </c>
      <c r="D352" s="18" t="s">
        <v>997</v>
      </c>
      <c r="E352" s="69" t="s">
        <v>998</v>
      </c>
      <c r="F352" s="8"/>
      <c r="G352" s="18" t="s">
        <v>62</v>
      </c>
      <c r="H352" s="18" t="s">
        <v>591</v>
      </c>
      <c r="I352" s="23">
        <v>1</v>
      </c>
      <c r="J352" s="8"/>
      <c r="K352" s="8"/>
      <c r="L352" s="8"/>
      <c r="M352" s="8"/>
      <c r="N352" s="8"/>
      <c r="O352" s="8"/>
      <c r="P352" s="60"/>
      <c r="R352" s="38" t="s">
        <v>1565</v>
      </c>
      <c r="S352" s="8" t="s">
        <v>1566</v>
      </c>
      <c r="T352" s="8" t="s">
        <v>1567</v>
      </c>
      <c r="U352" s="8" t="s">
        <v>1357</v>
      </c>
      <c r="V352" s="8" t="s">
        <v>8</v>
      </c>
      <c r="W352" s="8">
        <v>2023</v>
      </c>
      <c r="X352" s="8" t="s">
        <v>10</v>
      </c>
      <c r="Y352" s="8" t="s">
        <v>1568</v>
      </c>
      <c r="Z352" s="503">
        <v>0</v>
      </c>
      <c r="AA352" s="8" t="s">
        <v>1569</v>
      </c>
    </row>
    <row r="353" spans="1:27" s="26" customFormat="1" ht="28.5" customHeight="1">
      <c r="A353" s="8" t="s">
        <v>22</v>
      </c>
      <c r="B353" s="31" t="s">
        <v>587</v>
      </c>
      <c r="C353" s="18" t="s">
        <v>984</v>
      </c>
      <c r="D353" s="18" t="s">
        <v>999</v>
      </c>
      <c r="E353" s="69" t="s">
        <v>1000</v>
      </c>
      <c r="F353" s="8"/>
      <c r="G353" s="18" t="s">
        <v>62</v>
      </c>
      <c r="H353" s="18" t="s">
        <v>591</v>
      </c>
      <c r="I353" s="23">
        <v>1</v>
      </c>
      <c r="J353" s="8"/>
      <c r="K353" s="8"/>
      <c r="L353" s="8"/>
      <c r="M353" s="8"/>
      <c r="N353" s="8"/>
      <c r="O353" s="8"/>
      <c r="P353" s="60"/>
      <c r="Q353" s="46"/>
      <c r="R353" s="38" t="s">
        <v>1565</v>
      </c>
      <c r="S353" s="8" t="s">
        <v>1566</v>
      </c>
      <c r="T353" s="8" t="s">
        <v>1567</v>
      </c>
      <c r="U353" s="8" t="s">
        <v>1357</v>
      </c>
      <c r="V353" s="8" t="s">
        <v>8</v>
      </c>
      <c r="W353" s="8">
        <v>2023</v>
      </c>
      <c r="X353" s="8" t="s">
        <v>10</v>
      </c>
      <c r="Y353" s="8" t="s">
        <v>1568</v>
      </c>
      <c r="Z353" s="503">
        <v>0</v>
      </c>
      <c r="AA353" s="8" t="s">
        <v>1569</v>
      </c>
    </row>
    <row r="354" spans="1:27" s="26" customFormat="1" ht="28.5" customHeight="1">
      <c r="A354" s="8" t="s">
        <v>22</v>
      </c>
      <c r="B354" s="31" t="s">
        <v>587</v>
      </c>
      <c r="C354" s="18" t="s">
        <v>984</v>
      </c>
      <c r="D354" s="18" t="s">
        <v>1001</v>
      </c>
      <c r="E354" s="69" t="s">
        <v>1002</v>
      </c>
      <c r="F354" s="8"/>
      <c r="G354" s="18" t="s">
        <v>62</v>
      </c>
      <c r="H354" s="18" t="s">
        <v>591</v>
      </c>
      <c r="I354" s="23">
        <v>1</v>
      </c>
      <c r="J354" s="8"/>
      <c r="K354" s="8"/>
      <c r="L354" s="8"/>
      <c r="M354" s="8"/>
      <c r="N354" s="8"/>
      <c r="O354" s="8"/>
      <c r="P354" s="60"/>
      <c r="Q354" s="46"/>
      <c r="R354" s="38" t="s">
        <v>1565</v>
      </c>
      <c r="S354" s="8" t="s">
        <v>1566</v>
      </c>
      <c r="T354" s="8" t="s">
        <v>1567</v>
      </c>
      <c r="U354" s="8" t="s">
        <v>1357</v>
      </c>
      <c r="V354" s="8" t="s">
        <v>8</v>
      </c>
      <c r="W354" s="8">
        <v>2023</v>
      </c>
      <c r="X354" s="8" t="s">
        <v>10</v>
      </c>
      <c r="Y354" s="8" t="s">
        <v>1568</v>
      </c>
      <c r="Z354" s="503">
        <v>0</v>
      </c>
      <c r="AA354" s="8" t="s">
        <v>1569</v>
      </c>
    </row>
    <row r="355" spans="1:27" s="26" customFormat="1" ht="28.5" customHeight="1">
      <c r="A355" s="8" t="s">
        <v>22</v>
      </c>
      <c r="B355" s="31" t="s">
        <v>587</v>
      </c>
      <c r="C355" s="18" t="s">
        <v>984</v>
      </c>
      <c r="D355" s="18" t="s">
        <v>1003</v>
      </c>
      <c r="E355" s="69" t="s">
        <v>1004</v>
      </c>
      <c r="F355" s="8"/>
      <c r="G355" s="18" t="s">
        <v>62</v>
      </c>
      <c r="H355" s="18" t="s">
        <v>591</v>
      </c>
      <c r="I355" s="23">
        <v>1</v>
      </c>
      <c r="J355" s="8"/>
      <c r="K355" s="8"/>
      <c r="L355" s="8"/>
      <c r="M355" s="8"/>
      <c r="N355" s="8"/>
      <c r="O355" s="8"/>
      <c r="P355" s="60"/>
      <c r="Q355" s="46"/>
      <c r="R355" s="38" t="s">
        <v>1565</v>
      </c>
      <c r="S355" s="8" t="s">
        <v>1566</v>
      </c>
      <c r="T355" s="8" t="s">
        <v>1567</v>
      </c>
      <c r="U355" s="8" t="s">
        <v>1357</v>
      </c>
      <c r="V355" s="8" t="s">
        <v>8</v>
      </c>
      <c r="W355" s="8">
        <v>2023</v>
      </c>
      <c r="X355" s="8" t="s">
        <v>10</v>
      </c>
      <c r="Y355" s="8" t="s">
        <v>1568</v>
      </c>
      <c r="Z355" s="503">
        <v>0</v>
      </c>
      <c r="AA355" s="8" t="s">
        <v>1569</v>
      </c>
    </row>
    <row r="356" spans="1:27" s="26" customFormat="1" ht="28.5" customHeight="1">
      <c r="A356" s="8" t="s">
        <v>22</v>
      </c>
      <c r="B356" s="31" t="s">
        <v>587</v>
      </c>
      <c r="C356" s="18" t="s">
        <v>984</v>
      </c>
      <c r="D356" s="18" t="s">
        <v>1005</v>
      </c>
      <c r="E356" s="69" t="s">
        <v>1006</v>
      </c>
      <c r="F356" s="8"/>
      <c r="G356" s="18" t="s">
        <v>62</v>
      </c>
      <c r="H356" s="18" t="s">
        <v>591</v>
      </c>
      <c r="I356" s="23">
        <v>1</v>
      </c>
      <c r="J356" s="8"/>
      <c r="K356" s="8"/>
      <c r="L356" s="8"/>
      <c r="M356" s="8"/>
      <c r="N356" s="8"/>
      <c r="O356" s="8"/>
      <c r="P356" s="60"/>
      <c r="Q356" s="46"/>
      <c r="R356" s="38" t="s">
        <v>1565</v>
      </c>
      <c r="S356" s="8" t="s">
        <v>1566</v>
      </c>
      <c r="T356" s="8" t="s">
        <v>1567</v>
      </c>
      <c r="U356" s="8" t="s">
        <v>1357</v>
      </c>
      <c r="V356" s="8" t="s">
        <v>8</v>
      </c>
      <c r="W356" s="8">
        <v>2023</v>
      </c>
      <c r="X356" s="8" t="s">
        <v>10</v>
      </c>
      <c r="Y356" s="8" t="s">
        <v>1568</v>
      </c>
      <c r="Z356" s="503">
        <v>0</v>
      </c>
      <c r="AA356" s="8" t="s">
        <v>1569</v>
      </c>
    </row>
    <row r="357" spans="1:27" s="26" customFormat="1" ht="28.5" customHeight="1">
      <c r="A357" s="8" t="s">
        <v>22</v>
      </c>
      <c r="B357" s="31" t="s">
        <v>587</v>
      </c>
      <c r="C357" s="18" t="s">
        <v>984</v>
      </c>
      <c r="D357" s="18" t="s">
        <v>1007</v>
      </c>
      <c r="E357" s="69" t="s">
        <v>1008</v>
      </c>
      <c r="F357" s="8"/>
      <c r="G357" s="18" t="s">
        <v>62</v>
      </c>
      <c r="H357" s="18" t="s">
        <v>591</v>
      </c>
      <c r="I357" s="23">
        <v>1</v>
      </c>
      <c r="J357" s="8"/>
      <c r="K357" s="8"/>
      <c r="L357" s="8"/>
      <c r="M357" s="8"/>
      <c r="N357" s="8"/>
      <c r="O357" s="8"/>
      <c r="P357" s="60"/>
      <c r="Q357" s="46"/>
      <c r="R357" s="38" t="s">
        <v>1565</v>
      </c>
      <c r="S357" s="8" t="s">
        <v>1566</v>
      </c>
      <c r="T357" s="8" t="s">
        <v>1567</v>
      </c>
      <c r="U357" s="8" t="s">
        <v>1357</v>
      </c>
      <c r="V357" s="8" t="s">
        <v>8</v>
      </c>
      <c r="W357" s="8">
        <v>2023</v>
      </c>
      <c r="X357" s="8" t="s">
        <v>10</v>
      </c>
      <c r="Y357" s="8" t="s">
        <v>1568</v>
      </c>
      <c r="Z357" s="503">
        <v>0</v>
      </c>
      <c r="AA357" s="8" t="s">
        <v>1569</v>
      </c>
    </row>
    <row r="358" spans="1:27" s="26" customFormat="1" ht="28.5" customHeight="1">
      <c r="A358" s="8" t="s">
        <v>22</v>
      </c>
      <c r="B358" s="31" t="s">
        <v>587</v>
      </c>
      <c r="C358" s="18" t="s">
        <v>984</v>
      </c>
      <c r="D358" s="18" t="s">
        <v>1009</v>
      </c>
      <c r="E358" s="69" t="s">
        <v>1010</v>
      </c>
      <c r="F358" s="8"/>
      <c r="G358" s="18" t="s">
        <v>62</v>
      </c>
      <c r="H358" s="18" t="s">
        <v>591</v>
      </c>
      <c r="I358" s="23">
        <v>1</v>
      </c>
      <c r="J358" s="8"/>
      <c r="K358" s="8"/>
      <c r="L358" s="8"/>
      <c r="M358" s="8"/>
      <c r="N358" s="8"/>
      <c r="O358" s="8"/>
      <c r="P358" s="60"/>
      <c r="Q358" s="46"/>
      <c r="R358" s="38" t="s">
        <v>1565</v>
      </c>
      <c r="S358" s="8" t="s">
        <v>1566</v>
      </c>
      <c r="T358" s="8" t="s">
        <v>1567</v>
      </c>
      <c r="U358" s="8" t="s">
        <v>1357</v>
      </c>
      <c r="V358" s="8" t="s">
        <v>8</v>
      </c>
      <c r="W358" s="8">
        <v>2023</v>
      </c>
      <c r="X358" s="8" t="s">
        <v>10</v>
      </c>
      <c r="Y358" s="8" t="s">
        <v>1568</v>
      </c>
      <c r="Z358" s="503">
        <v>0</v>
      </c>
      <c r="AA358" s="8" t="s">
        <v>1569</v>
      </c>
    </row>
    <row r="359" spans="1:27" s="26" customFormat="1" ht="28.5" customHeight="1">
      <c r="A359" s="8" t="s">
        <v>22</v>
      </c>
      <c r="B359" s="31" t="s">
        <v>587</v>
      </c>
      <c r="C359" s="18" t="s">
        <v>984</v>
      </c>
      <c r="D359" s="18" t="s">
        <v>1011</v>
      </c>
      <c r="E359" s="69" t="s">
        <v>1012</v>
      </c>
      <c r="F359" s="8"/>
      <c r="G359" s="18" t="s">
        <v>62</v>
      </c>
      <c r="H359" s="18" t="s">
        <v>591</v>
      </c>
      <c r="I359" s="23">
        <v>1</v>
      </c>
      <c r="J359" s="8"/>
      <c r="K359" s="8"/>
      <c r="L359" s="8"/>
      <c r="M359" s="8"/>
      <c r="N359" s="8"/>
      <c r="O359" s="8"/>
      <c r="P359" s="60"/>
      <c r="Q359" s="46"/>
      <c r="R359" s="38" t="s">
        <v>1565</v>
      </c>
      <c r="S359" s="8" t="s">
        <v>1566</v>
      </c>
      <c r="T359" s="8" t="s">
        <v>1567</v>
      </c>
      <c r="U359" s="8" t="s">
        <v>1357</v>
      </c>
      <c r="V359" s="8" t="s">
        <v>8</v>
      </c>
      <c r="W359" s="8">
        <v>2023</v>
      </c>
      <c r="X359" s="8" t="s">
        <v>10</v>
      </c>
      <c r="Y359" s="8" t="s">
        <v>1568</v>
      </c>
      <c r="Z359" s="503">
        <v>0</v>
      </c>
      <c r="AA359" s="8" t="s">
        <v>1569</v>
      </c>
    </row>
    <row r="360" spans="1:27" s="26" customFormat="1" ht="28.5" customHeight="1">
      <c r="A360" s="8" t="s">
        <v>22</v>
      </c>
      <c r="B360" s="31" t="s">
        <v>587</v>
      </c>
      <c r="C360" s="18" t="s">
        <v>984</v>
      </c>
      <c r="D360" s="18" t="s">
        <v>1013</v>
      </c>
      <c r="E360" s="69" t="s">
        <v>1014</v>
      </c>
      <c r="F360" s="8"/>
      <c r="G360" s="18" t="s">
        <v>62</v>
      </c>
      <c r="H360" s="18" t="s">
        <v>591</v>
      </c>
      <c r="I360" s="23">
        <v>1</v>
      </c>
      <c r="J360" s="8"/>
      <c r="K360" s="8"/>
      <c r="L360" s="8"/>
      <c r="M360" s="8"/>
      <c r="N360" s="8"/>
      <c r="O360" s="8"/>
      <c r="P360" s="60"/>
      <c r="Q360" s="46"/>
      <c r="R360" s="38" t="s">
        <v>1565</v>
      </c>
      <c r="S360" s="8" t="s">
        <v>1566</v>
      </c>
      <c r="T360" s="8" t="s">
        <v>1567</v>
      </c>
      <c r="U360" s="8" t="s">
        <v>1357</v>
      </c>
      <c r="V360" s="8" t="s">
        <v>8</v>
      </c>
      <c r="W360" s="8">
        <v>2023</v>
      </c>
      <c r="X360" s="8" t="s">
        <v>10</v>
      </c>
      <c r="Y360" s="8" t="s">
        <v>1568</v>
      </c>
      <c r="Z360" s="503">
        <v>0</v>
      </c>
      <c r="AA360" s="8" t="s">
        <v>1569</v>
      </c>
    </row>
    <row r="361" spans="1:27" s="26" customFormat="1" ht="28.5" customHeight="1">
      <c r="A361" s="8" t="s">
        <v>22</v>
      </c>
      <c r="B361" s="31" t="s">
        <v>587</v>
      </c>
      <c r="C361" s="18" t="s">
        <v>984</v>
      </c>
      <c r="D361" s="18" t="s">
        <v>1015</v>
      </c>
      <c r="E361" s="69" t="s">
        <v>1016</v>
      </c>
      <c r="F361" s="8"/>
      <c r="G361" s="18" t="s">
        <v>62</v>
      </c>
      <c r="H361" s="18" t="s">
        <v>591</v>
      </c>
      <c r="I361" s="23">
        <v>1</v>
      </c>
      <c r="J361" s="8"/>
      <c r="K361" s="8"/>
      <c r="L361" s="8"/>
      <c r="M361" s="8"/>
      <c r="N361" s="8"/>
      <c r="O361" s="8"/>
      <c r="P361" s="60"/>
      <c r="Q361" s="46"/>
      <c r="R361" s="38" t="s">
        <v>1565</v>
      </c>
      <c r="S361" s="8" t="s">
        <v>1566</v>
      </c>
      <c r="T361" s="8" t="s">
        <v>1567</v>
      </c>
      <c r="U361" s="8" t="s">
        <v>1357</v>
      </c>
      <c r="V361" s="8" t="s">
        <v>8</v>
      </c>
      <c r="W361" s="8">
        <v>2023</v>
      </c>
      <c r="X361" s="8" t="s">
        <v>10</v>
      </c>
      <c r="Y361" s="8" t="s">
        <v>1568</v>
      </c>
      <c r="Z361" s="503">
        <v>0</v>
      </c>
      <c r="AA361" s="8" t="s">
        <v>1569</v>
      </c>
    </row>
    <row r="362" spans="1:27" s="26" customFormat="1" ht="28.5" customHeight="1">
      <c r="A362" s="8" t="s">
        <v>22</v>
      </c>
      <c r="B362" s="31" t="s">
        <v>587</v>
      </c>
      <c r="C362" s="18" t="s">
        <v>984</v>
      </c>
      <c r="D362" s="18" t="s">
        <v>1017</v>
      </c>
      <c r="E362" s="69" t="s">
        <v>1018</v>
      </c>
      <c r="F362" s="8"/>
      <c r="G362" s="18" t="s">
        <v>62</v>
      </c>
      <c r="H362" s="18" t="s">
        <v>591</v>
      </c>
      <c r="I362" s="23">
        <v>1</v>
      </c>
      <c r="J362" s="8"/>
      <c r="K362" s="8"/>
      <c r="L362" s="8"/>
      <c r="M362" s="8"/>
      <c r="N362" s="8"/>
      <c r="O362" s="8"/>
      <c r="P362" s="60"/>
      <c r="Q362" s="46"/>
      <c r="R362" s="38" t="s">
        <v>1565</v>
      </c>
      <c r="S362" s="8" t="s">
        <v>1566</v>
      </c>
      <c r="T362" s="8" t="s">
        <v>1567</v>
      </c>
      <c r="U362" s="8" t="s">
        <v>1357</v>
      </c>
      <c r="V362" s="8" t="s">
        <v>8</v>
      </c>
      <c r="W362" s="8">
        <v>2023</v>
      </c>
      <c r="X362" s="8" t="s">
        <v>10</v>
      </c>
      <c r="Y362" s="8" t="s">
        <v>1568</v>
      </c>
      <c r="Z362" s="503">
        <v>0</v>
      </c>
      <c r="AA362" s="8" t="s">
        <v>1569</v>
      </c>
    </row>
    <row r="363" spans="1:27" s="26" customFormat="1" ht="28.5" customHeight="1">
      <c r="A363" s="8" t="s">
        <v>22</v>
      </c>
      <c r="B363" s="31" t="s">
        <v>587</v>
      </c>
      <c r="C363" s="18" t="s">
        <v>984</v>
      </c>
      <c r="D363" s="18" t="s">
        <v>1019</v>
      </c>
      <c r="E363" s="69" t="s">
        <v>1020</v>
      </c>
      <c r="F363" s="8"/>
      <c r="G363" s="18" t="s">
        <v>62</v>
      </c>
      <c r="H363" s="18" t="s">
        <v>591</v>
      </c>
      <c r="I363" s="23">
        <v>1</v>
      </c>
      <c r="J363" s="8"/>
      <c r="K363" s="8"/>
      <c r="L363" s="8"/>
      <c r="M363" s="8"/>
      <c r="N363" s="8"/>
      <c r="O363" s="8"/>
      <c r="P363" s="60"/>
      <c r="Q363" s="46"/>
      <c r="R363" s="38" t="s">
        <v>1565</v>
      </c>
      <c r="S363" s="8" t="s">
        <v>1566</v>
      </c>
      <c r="T363" s="8" t="s">
        <v>1567</v>
      </c>
      <c r="U363" s="8" t="s">
        <v>1357</v>
      </c>
      <c r="V363" s="8" t="s">
        <v>8</v>
      </c>
      <c r="W363" s="8">
        <v>2023</v>
      </c>
      <c r="X363" s="8" t="s">
        <v>10</v>
      </c>
      <c r="Y363" s="8" t="s">
        <v>1568</v>
      </c>
      <c r="Z363" s="503">
        <v>0</v>
      </c>
      <c r="AA363" s="8" t="s">
        <v>1569</v>
      </c>
    </row>
    <row r="364" spans="1:27" s="26" customFormat="1" ht="28.5" customHeight="1">
      <c r="A364" s="8" t="s">
        <v>22</v>
      </c>
      <c r="B364" s="31" t="s">
        <v>587</v>
      </c>
      <c r="C364" s="18" t="s">
        <v>984</v>
      </c>
      <c r="D364" s="18" t="s">
        <v>1021</v>
      </c>
      <c r="E364" s="69" t="s">
        <v>1022</v>
      </c>
      <c r="F364" s="8"/>
      <c r="G364" s="18" t="s">
        <v>62</v>
      </c>
      <c r="H364" s="18" t="s">
        <v>591</v>
      </c>
      <c r="I364" s="23">
        <v>1</v>
      </c>
      <c r="J364" s="8"/>
      <c r="K364" s="8"/>
      <c r="L364" s="8"/>
      <c r="M364" s="8"/>
      <c r="N364" s="8"/>
      <c r="O364" s="8"/>
      <c r="P364" s="60"/>
      <c r="Q364" s="46"/>
      <c r="R364" s="38" t="s">
        <v>1565</v>
      </c>
      <c r="S364" s="8" t="s">
        <v>1566</v>
      </c>
      <c r="T364" s="8" t="s">
        <v>1567</v>
      </c>
      <c r="U364" s="8" t="s">
        <v>1357</v>
      </c>
      <c r="V364" s="8" t="s">
        <v>8</v>
      </c>
      <c r="W364" s="8">
        <v>2023</v>
      </c>
      <c r="X364" s="8" t="s">
        <v>10</v>
      </c>
      <c r="Y364" s="8" t="s">
        <v>1568</v>
      </c>
      <c r="Z364" s="503">
        <v>0</v>
      </c>
      <c r="AA364" s="8" t="s">
        <v>1569</v>
      </c>
    </row>
    <row r="365" spans="1:27" s="26" customFormat="1" ht="28.5" customHeight="1">
      <c r="A365" s="8" t="s">
        <v>22</v>
      </c>
      <c r="B365" s="31" t="s">
        <v>587</v>
      </c>
      <c r="C365" s="18" t="s">
        <v>984</v>
      </c>
      <c r="D365" s="18" t="s">
        <v>1023</v>
      </c>
      <c r="E365" s="69" t="s">
        <v>1024</v>
      </c>
      <c r="F365" s="8"/>
      <c r="G365" s="18" t="s">
        <v>62</v>
      </c>
      <c r="H365" s="18" t="s">
        <v>591</v>
      </c>
      <c r="I365" s="23">
        <v>1</v>
      </c>
      <c r="J365" s="8"/>
      <c r="K365" s="8"/>
      <c r="L365" s="8"/>
      <c r="M365" s="8"/>
      <c r="N365" s="8"/>
      <c r="O365" s="8"/>
      <c r="P365" s="60"/>
      <c r="Q365" s="46"/>
      <c r="R365" s="38" t="s">
        <v>1565</v>
      </c>
      <c r="S365" s="8" t="s">
        <v>1566</v>
      </c>
      <c r="T365" s="8" t="s">
        <v>1567</v>
      </c>
      <c r="U365" s="8" t="s">
        <v>1357</v>
      </c>
      <c r="V365" s="8" t="s">
        <v>8</v>
      </c>
      <c r="W365" s="8">
        <v>2023</v>
      </c>
      <c r="X365" s="8" t="s">
        <v>10</v>
      </c>
      <c r="Y365" s="8" t="s">
        <v>1568</v>
      </c>
      <c r="Z365" s="503">
        <v>0</v>
      </c>
      <c r="AA365" s="8" t="s">
        <v>1569</v>
      </c>
    </row>
    <row r="366" spans="1:27" s="26" customFormat="1" ht="28.5" customHeight="1">
      <c r="A366" s="8" t="s">
        <v>22</v>
      </c>
      <c r="B366" s="31" t="s">
        <v>587</v>
      </c>
      <c r="C366" s="18" t="s">
        <v>984</v>
      </c>
      <c r="D366" s="18" t="s">
        <v>1025</v>
      </c>
      <c r="E366" s="69" t="s">
        <v>1026</v>
      </c>
      <c r="F366" s="8"/>
      <c r="G366" s="18" t="s">
        <v>62</v>
      </c>
      <c r="H366" s="18" t="s">
        <v>591</v>
      </c>
      <c r="I366" s="23">
        <v>1</v>
      </c>
      <c r="J366" s="8"/>
      <c r="K366" s="8"/>
      <c r="L366" s="8"/>
      <c r="M366" s="8"/>
      <c r="N366" s="8"/>
      <c r="O366" s="8"/>
      <c r="P366" s="60"/>
      <c r="Q366" s="46"/>
      <c r="R366" s="38" t="s">
        <v>1565</v>
      </c>
      <c r="S366" s="8" t="s">
        <v>1566</v>
      </c>
      <c r="T366" s="8" t="s">
        <v>1567</v>
      </c>
      <c r="U366" s="8" t="s">
        <v>1357</v>
      </c>
      <c r="V366" s="8" t="s">
        <v>8</v>
      </c>
      <c r="W366" s="8">
        <v>2023</v>
      </c>
      <c r="X366" s="8" t="s">
        <v>10</v>
      </c>
      <c r="Y366" s="8" t="s">
        <v>1568</v>
      </c>
      <c r="Z366" s="503">
        <v>0</v>
      </c>
      <c r="AA366" s="8" t="s">
        <v>1569</v>
      </c>
    </row>
    <row r="367" spans="1:27" s="26" customFormat="1" ht="28.5" customHeight="1">
      <c r="A367" s="8" t="s">
        <v>22</v>
      </c>
      <c r="B367" s="31" t="s">
        <v>587</v>
      </c>
      <c r="C367" s="18" t="s">
        <v>984</v>
      </c>
      <c r="D367" s="18" t="s">
        <v>1027</v>
      </c>
      <c r="E367" s="69" t="s">
        <v>1028</v>
      </c>
      <c r="F367" s="8"/>
      <c r="G367" s="18" t="s">
        <v>62</v>
      </c>
      <c r="H367" s="18" t="s">
        <v>591</v>
      </c>
      <c r="I367" s="23">
        <v>1</v>
      </c>
      <c r="J367" s="8"/>
      <c r="K367" s="8"/>
      <c r="L367" s="8"/>
      <c r="M367" s="8"/>
      <c r="N367" s="8"/>
      <c r="O367" s="8"/>
      <c r="P367" s="60"/>
      <c r="Q367" s="46"/>
      <c r="R367" s="38" t="s">
        <v>1565</v>
      </c>
      <c r="S367" s="8" t="s">
        <v>1566</v>
      </c>
      <c r="T367" s="8" t="s">
        <v>1567</v>
      </c>
      <c r="U367" s="8" t="s">
        <v>1357</v>
      </c>
      <c r="V367" s="8" t="s">
        <v>8</v>
      </c>
      <c r="W367" s="8">
        <v>2023</v>
      </c>
      <c r="X367" s="8" t="s">
        <v>10</v>
      </c>
      <c r="Y367" s="8" t="s">
        <v>1568</v>
      </c>
      <c r="Z367" s="503">
        <v>0</v>
      </c>
      <c r="AA367" s="8" t="s">
        <v>1569</v>
      </c>
    </row>
    <row r="368" spans="1:27" s="26" customFormat="1" ht="28.5" customHeight="1">
      <c r="A368" s="8" t="s">
        <v>22</v>
      </c>
      <c r="B368" s="31" t="s">
        <v>587</v>
      </c>
      <c r="C368" s="18" t="s">
        <v>984</v>
      </c>
      <c r="D368" s="18" t="s">
        <v>1029</v>
      </c>
      <c r="E368" s="69" t="s">
        <v>1030</v>
      </c>
      <c r="F368" s="8"/>
      <c r="G368" s="18" t="s">
        <v>62</v>
      </c>
      <c r="H368" s="18" t="s">
        <v>591</v>
      </c>
      <c r="I368" s="23">
        <v>1</v>
      </c>
      <c r="J368" s="8"/>
      <c r="K368" s="8"/>
      <c r="L368" s="8"/>
      <c r="M368" s="8"/>
      <c r="N368" s="8"/>
      <c r="O368" s="8"/>
      <c r="P368" s="60"/>
      <c r="Q368" s="46"/>
      <c r="R368" s="38" t="s">
        <v>1565</v>
      </c>
      <c r="S368" s="8" t="s">
        <v>1566</v>
      </c>
      <c r="T368" s="8" t="s">
        <v>1567</v>
      </c>
      <c r="U368" s="8" t="s">
        <v>1357</v>
      </c>
      <c r="V368" s="8" t="s">
        <v>8</v>
      </c>
      <c r="W368" s="8">
        <v>2023</v>
      </c>
      <c r="X368" s="8" t="s">
        <v>10</v>
      </c>
      <c r="Y368" s="8" t="s">
        <v>1568</v>
      </c>
      <c r="Z368" s="503">
        <v>0</v>
      </c>
      <c r="AA368" s="8" t="s">
        <v>1569</v>
      </c>
    </row>
    <row r="369" spans="1:27" s="26" customFormat="1" ht="28.5" customHeight="1">
      <c r="A369" s="8" t="s">
        <v>22</v>
      </c>
      <c r="B369" s="31" t="s">
        <v>587</v>
      </c>
      <c r="C369" s="18" t="s">
        <v>984</v>
      </c>
      <c r="D369" s="18" t="s">
        <v>1031</v>
      </c>
      <c r="E369" s="69" t="s">
        <v>1032</v>
      </c>
      <c r="F369" s="8"/>
      <c r="G369" s="18" t="s">
        <v>62</v>
      </c>
      <c r="H369" s="18" t="s">
        <v>591</v>
      </c>
      <c r="I369" s="23">
        <v>1</v>
      </c>
      <c r="J369" s="8"/>
      <c r="K369" s="8"/>
      <c r="L369" s="8"/>
      <c r="M369" s="8"/>
      <c r="N369" s="8"/>
      <c r="O369" s="8"/>
      <c r="P369" s="60"/>
      <c r="Q369" s="46"/>
      <c r="R369" s="38" t="s">
        <v>1565</v>
      </c>
      <c r="S369" s="8" t="s">
        <v>1566</v>
      </c>
      <c r="T369" s="8" t="s">
        <v>1567</v>
      </c>
      <c r="U369" s="8" t="s">
        <v>1357</v>
      </c>
      <c r="V369" s="8" t="s">
        <v>8</v>
      </c>
      <c r="W369" s="8">
        <v>2023</v>
      </c>
      <c r="X369" s="8" t="s">
        <v>10</v>
      </c>
      <c r="Y369" s="8" t="s">
        <v>1568</v>
      </c>
      <c r="Z369" s="503">
        <v>0</v>
      </c>
      <c r="AA369" s="8" t="s">
        <v>1569</v>
      </c>
    </row>
    <row r="370" spans="1:27" s="26" customFormat="1" ht="28.5" customHeight="1">
      <c r="A370" s="8" t="s">
        <v>22</v>
      </c>
      <c r="B370" s="31" t="s">
        <v>587</v>
      </c>
      <c r="C370" s="18" t="s">
        <v>984</v>
      </c>
      <c r="D370" s="18" t="s">
        <v>1033</v>
      </c>
      <c r="E370" s="69" t="s">
        <v>1034</v>
      </c>
      <c r="F370" s="8"/>
      <c r="G370" s="18" t="s">
        <v>62</v>
      </c>
      <c r="H370" s="18" t="s">
        <v>591</v>
      </c>
      <c r="I370" s="23">
        <v>1</v>
      </c>
      <c r="J370" s="8"/>
      <c r="K370" s="8"/>
      <c r="L370" s="8"/>
      <c r="M370" s="8"/>
      <c r="N370" s="8"/>
      <c r="O370" s="8"/>
      <c r="P370" s="60"/>
      <c r="Q370" s="46"/>
      <c r="R370" s="38" t="s">
        <v>1565</v>
      </c>
      <c r="S370" s="8" t="s">
        <v>1566</v>
      </c>
      <c r="T370" s="8" t="s">
        <v>1567</v>
      </c>
      <c r="U370" s="8" t="s">
        <v>1357</v>
      </c>
      <c r="V370" s="8" t="s">
        <v>8</v>
      </c>
      <c r="W370" s="8">
        <v>2023</v>
      </c>
      <c r="X370" s="8" t="s">
        <v>10</v>
      </c>
      <c r="Y370" s="8" t="s">
        <v>1568</v>
      </c>
      <c r="Z370" s="503">
        <v>0</v>
      </c>
      <c r="AA370" s="8" t="s">
        <v>1569</v>
      </c>
    </row>
    <row r="371" spans="1:27" s="26" customFormat="1" ht="28.5" customHeight="1">
      <c r="A371" s="8" t="s">
        <v>22</v>
      </c>
      <c r="B371" s="31" t="s">
        <v>587</v>
      </c>
      <c r="C371" s="18" t="s">
        <v>984</v>
      </c>
      <c r="D371" s="18" t="s">
        <v>1035</v>
      </c>
      <c r="E371" s="69" t="s">
        <v>1036</v>
      </c>
      <c r="F371" s="8"/>
      <c r="G371" s="18" t="s">
        <v>62</v>
      </c>
      <c r="H371" s="18" t="s">
        <v>591</v>
      </c>
      <c r="I371" s="23">
        <v>1</v>
      </c>
      <c r="J371" s="8"/>
      <c r="K371" s="8"/>
      <c r="L371" s="8"/>
      <c r="M371" s="8"/>
      <c r="N371" s="8"/>
      <c r="O371" s="8"/>
      <c r="P371" s="60"/>
      <c r="Q371" s="46"/>
      <c r="R371" s="38" t="s">
        <v>1565</v>
      </c>
      <c r="S371" s="8" t="s">
        <v>1566</v>
      </c>
      <c r="T371" s="8" t="s">
        <v>1567</v>
      </c>
      <c r="U371" s="8" t="s">
        <v>1357</v>
      </c>
      <c r="V371" s="8" t="s">
        <v>8</v>
      </c>
      <c r="W371" s="8">
        <v>2023</v>
      </c>
      <c r="X371" s="8" t="s">
        <v>10</v>
      </c>
      <c r="Y371" s="8" t="s">
        <v>1568</v>
      </c>
      <c r="Z371" s="503">
        <v>0</v>
      </c>
      <c r="AA371" s="8" t="s">
        <v>1569</v>
      </c>
    </row>
    <row r="372" spans="1:27" s="26" customFormat="1" ht="28.5" customHeight="1">
      <c r="A372" s="8" t="s">
        <v>22</v>
      </c>
      <c r="B372" s="31" t="s">
        <v>587</v>
      </c>
      <c r="C372" s="18" t="s">
        <v>984</v>
      </c>
      <c r="D372" s="18" t="s">
        <v>1037</v>
      </c>
      <c r="E372" s="69" t="s">
        <v>1038</v>
      </c>
      <c r="F372" s="8"/>
      <c r="G372" s="18" t="s">
        <v>62</v>
      </c>
      <c r="H372" s="18" t="s">
        <v>591</v>
      </c>
      <c r="I372" s="23">
        <v>1</v>
      </c>
      <c r="J372" s="8"/>
      <c r="K372" s="8"/>
      <c r="L372" s="8"/>
      <c r="M372" s="8"/>
      <c r="N372" s="8"/>
      <c r="O372" s="8"/>
      <c r="P372" s="60"/>
      <c r="Q372" s="46"/>
      <c r="R372" s="38" t="s">
        <v>1565</v>
      </c>
      <c r="S372" s="8" t="s">
        <v>1566</v>
      </c>
      <c r="T372" s="8" t="s">
        <v>1567</v>
      </c>
      <c r="U372" s="8" t="s">
        <v>1357</v>
      </c>
      <c r="V372" s="8" t="s">
        <v>8</v>
      </c>
      <c r="W372" s="8">
        <v>2023</v>
      </c>
      <c r="X372" s="8" t="s">
        <v>10</v>
      </c>
      <c r="Y372" s="8" t="s">
        <v>1568</v>
      </c>
      <c r="Z372" s="503">
        <v>0</v>
      </c>
      <c r="AA372" s="8" t="s">
        <v>1569</v>
      </c>
    </row>
    <row r="373" spans="1:27" s="26" customFormat="1" ht="28.5" customHeight="1">
      <c r="A373" s="8" t="s">
        <v>22</v>
      </c>
      <c r="B373" s="31" t="s">
        <v>587</v>
      </c>
      <c r="C373" s="18" t="s">
        <v>984</v>
      </c>
      <c r="D373" s="18" t="s">
        <v>1039</v>
      </c>
      <c r="E373" s="69" t="s">
        <v>1040</v>
      </c>
      <c r="F373" s="8"/>
      <c r="G373" s="18" t="s">
        <v>62</v>
      </c>
      <c r="H373" s="18" t="s">
        <v>591</v>
      </c>
      <c r="I373" s="23">
        <v>1</v>
      </c>
      <c r="J373" s="8"/>
      <c r="K373" s="8"/>
      <c r="L373" s="8"/>
      <c r="M373" s="8"/>
      <c r="N373" s="8"/>
      <c r="O373" s="8"/>
      <c r="P373" s="60"/>
      <c r="Q373" s="46"/>
      <c r="R373" s="38" t="s">
        <v>1565</v>
      </c>
      <c r="S373" s="8" t="s">
        <v>1566</v>
      </c>
      <c r="T373" s="8" t="s">
        <v>1567</v>
      </c>
      <c r="U373" s="8" t="s">
        <v>1357</v>
      </c>
      <c r="V373" s="8" t="s">
        <v>8</v>
      </c>
      <c r="W373" s="8">
        <v>2023</v>
      </c>
      <c r="X373" s="8" t="s">
        <v>10</v>
      </c>
      <c r="Y373" s="8" t="s">
        <v>1568</v>
      </c>
      <c r="Z373" s="503">
        <v>0</v>
      </c>
      <c r="AA373" s="8" t="s">
        <v>1569</v>
      </c>
    </row>
    <row r="374" spans="1:27" s="26" customFormat="1" ht="28.5" hidden="1" customHeight="1">
      <c r="A374" s="8" t="s">
        <v>22</v>
      </c>
      <c r="B374" s="31" t="s">
        <v>587</v>
      </c>
      <c r="C374" s="18" t="s">
        <v>984</v>
      </c>
      <c r="D374" s="18" t="s">
        <v>1041</v>
      </c>
      <c r="E374" s="69" t="s">
        <v>1042</v>
      </c>
      <c r="F374" s="8"/>
      <c r="G374" s="18" t="s">
        <v>62</v>
      </c>
      <c r="H374" s="18" t="s">
        <v>591</v>
      </c>
      <c r="I374" s="23">
        <v>1</v>
      </c>
      <c r="J374" s="8"/>
      <c r="K374" s="8"/>
      <c r="L374" s="8"/>
      <c r="M374" s="8"/>
      <c r="N374" s="8"/>
      <c r="O374" s="8"/>
      <c r="P374" s="60"/>
      <c r="Q374" s="46"/>
      <c r="R374" s="38"/>
      <c r="S374" s="8"/>
      <c r="T374" s="8"/>
      <c r="U374" s="8"/>
      <c r="V374" s="8"/>
      <c r="W374" s="8"/>
      <c r="X374" s="8"/>
      <c r="Y374" s="8"/>
      <c r="Z374" s="503"/>
      <c r="AA374" s="8"/>
    </row>
    <row r="375" spans="1:27" s="26" customFormat="1" ht="28.5" hidden="1" customHeight="1">
      <c r="A375" s="8" t="s">
        <v>22</v>
      </c>
      <c r="B375" s="31" t="s">
        <v>587</v>
      </c>
      <c r="C375" s="18" t="s">
        <v>984</v>
      </c>
      <c r="D375" s="18" t="s">
        <v>1043</v>
      </c>
      <c r="E375" s="69" t="s">
        <v>1044</v>
      </c>
      <c r="F375" s="8"/>
      <c r="G375" s="18" t="s">
        <v>62</v>
      </c>
      <c r="H375" s="18" t="s">
        <v>591</v>
      </c>
      <c r="I375" s="23">
        <v>1</v>
      </c>
      <c r="J375" s="8"/>
      <c r="K375" s="8"/>
      <c r="L375" s="8"/>
      <c r="M375" s="8"/>
      <c r="N375" s="8"/>
      <c r="O375" s="8"/>
      <c r="P375" s="60"/>
      <c r="Q375" s="46"/>
      <c r="R375" s="38"/>
      <c r="S375" s="8"/>
      <c r="T375" s="8"/>
      <c r="U375" s="8"/>
      <c r="V375" s="8"/>
      <c r="W375" s="8"/>
      <c r="X375" s="8"/>
      <c r="Y375" s="8"/>
      <c r="Z375" s="503"/>
      <c r="AA375" s="8"/>
    </row>
    <row r="376" spans="1:27" s="26" customFormat="1" ht="28.5" hidden="1" customHeight="1">
      <c r="A376" s="8" t="s">
        <v>22</v>
      </c>
      <c r="B376" s="31" t="s">
        <v>587</v>
      </c>
      <c r="C376" s="18" t="s">
        <v>1045</v>
      </c>
      <c r="D376" s="18" t="s">
        <v>1046</v>
      </c>
      <c r="E376" s="18" t="s">
        <v>1047</v>
      </c>
      <c r="F376" s="8"/>
      <c r="G376" s="24" t="s">
        <v>62</v>
      </c>
      <c r="H376" s="20"/>
      <c r="I376" s="20"/>
      <c r="J376" s="20"/>
      <c r="K376" s="20"/>
      <c r="L376" s="20"/>
      <c r="M376" s="20"/>
      <c r="N376" s="20"/>
      <c r="O376" s="20"/>
      <c r="P376" s="60"/>
      <c r="Q376" s="46"/>
      <c r="R376" s="39"/>
      <c r="S376" s="20"/>
      <c r="T376" s="20"/>
      <c r="U376" s="20"/>
      <c r="V376" s="20"/>
      <c r="W376" s="20"/>
      <c r="X376" s="20"/>
      <c r="Y376" s="20"/>
      <c r="Z376" s="504"/>
      <c r="AA376" s="20"/>
    </row>
    <row r="377" spans="1:27" s="26" customFormat="1" ht="28.5" customHeight="1">
      <c r="A377" s="8" t="s">
        <v>22</v>
      </c>
      <c r="B377" s="31" t="s">
        <v>587</v>
      </c>
      <c r="C377" s="18" t="s">
        <v>1045</v>
      </c>
      <c r="D377" s="18" t="s">
        <v>1048</v>
      </c>
      <c r="E377" s="69" t="s">
        <v>1049</v>
      </c>
      <c r="F377" s="8"/>
      <c r="G377" s="18" t="s">
        <v>62</v>
      </c>
      <c r="H377" s="18" t="s">
        <v>735</v>
      </c>
      <c r="I377" s="23">
        <v>1</v>
      </c>
      <c r="J377" s="8"/>
      <c r="K377" s="8"/>
      <c r="L377" s="8"/>
      <c r="M377" s="8"/>
      <c r="N377" s="8"/>
      <c r="O377" s="8"/>
      <c r="P377" s="60"/>
      <c r="Q377" s="46"/>
      <c r="R377" s="38" t="s">
        <v>1558</v>
      </c>
      <c r="S377" s="8" t="s">
        <v>1559</v>
      </c>
      <c r="T377" s="8" t="s">
        <v>1560</v>
      </c>
      <c r="U377" s="8" t="s">
        <v>1357</v>
      </c>
      <c r="V377" s="8" t="s">
        <v>1191</v>
      </c>
      <c r="W377" s="8">
        <v>2023</v>
      </c>
      <c r="X377" s="8" t="s">
        <v>9</v>
      </c>
      <c r="Y377" s="8" t="s">
        <v>1561</v>
      </c>
      <c r="Z377" s="503">
        <v>0</v>
      </c>
      <c r="AA377" s="8" t="s">
        <v>1563</v>
      </c>
    </row>
    <row r="378" spans="1:27" s="26" customFormat="1" ht="28.5" customHeight="1">
      <c r="A378" s="8" t="s">
        <v>22</v>
      </c>
      <c r="B378" s="31" t="s">
        <v>587</v>
      </c>
      <c r="C378" s="18" t="s">
        <v>1045</v>
      </c>
      <c r="D378" s="18" t="s">
        <v>1050</v>
      </c>
      <c r="E378" s="69" t="s">
        <v>1051</v>
      </c>
      <c r="F378" s="8"/>
      <c r="G378" s="18" t="s">
        <v>62</v>
      </c>
      <c r="H378" s="18" t="s">
        <v>428</v>
      </c>
      <c r="I378" s="23">
        <v>0.5</v>
      </c>
      <c r="J378" s="8"/>
      <c r="K378" s="8"/>
      <c r="L378" s="8"/>
      <c r="M378" s="8"/>
      <c r="N378" s="8"/>
      <c r="O378" s="8"/>
      <c r="P378" s="60"/>
      <c r="Q378" s="46"/>
      <c r="R378" s="38" t="s">
        <v>1558</v>
      </c>
      <c r="S378" s="8" t="s">
        <v>1559</v>
      </c>
      <c r="T378" s="8" t="s">
        <v>1560</v>
      </c>
      <c r="U378" s="8" t="s">
        <v>1357</v>
      </c>
      <c r="V378" s="8" t="s">
        <v>1191</v>
      </c>
      <c r="W378" s="8">
        <v>2023</v>
      </c>
      <c r="X378" s="8" t="s">
        <v>9</v>
      </c>
      <c r="Y378" s="8" t="s">
        <v>1561</v>
      </c>
      <c r="Z378" s="503">
        <v>0</v>
      </c>
      <c r="AA378" s="8" t="s">
        <v>1563</v>
      </c>
    </row>
    <row r="379" spans="1:27" s="26" customFormat="1"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Q379" s="46"/>
      <c r="R379" s="38"/>
      <c r="S379" s="8"/>
      <c r="T379" s="8"/>
      <c r="U379" s="8"/>
      <c r="V379" s="8"/>
      <c r="W379" s="8"/>
      <c r="X379" s="8"/>
      <c r="Y379" s="8"/>
      <c r="Z379" s="8"/>
      <c r="AA379" s="8"/>
    </row>
    <row r="380" spans="1:27" s="26" customFormat="1" ht="28.5"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Q380" s="46"/>
      <c r="R380" s="38" t="s">
        <v>1558</v>
      </c>
      <c r="S380" s="8" t="s">
        <v>1559</v>
      </c>
      <c r="T380" s="8" t="s">
        <v>1560</v>
      </c>
      <c r="U380" s="8" t="s">
        <v>1357</v>
      </c>
      <c r="V380" s="8" t="s">
        <v>1191</v>
      </c>
      <c r="W380" s="8">
        <v>2023</v>
      </c>
      <c r="X380" s="8" t="s">
        <v>9</v>
      </c>
      <c r="Y380" s="8" t="s">
        <v>1561</v>
      </c>
      <c r="Z380" s="503">
        <v>0</v>
      </c>
      <c r="AA380" s="8" t="s">
        <v>1563</v>
      </c>
    </row>
    <row r="381" spans="1:27" s="26" customFormat="1" ht="28.5"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Q381" s="46"/>
      <c r="R381" s="38"/>
      <c r="S381" s="8"/>
      <c r="T381" s="8"/>
      <c r="U381" s="8"/>
      <c r="V381" s="8"/>
      <c r="W381" s="8"/>
      <c r="X381" s="8"/>
      <c r="Y381" s="8"/>
      <c r="Z381" s="503"/>
      <c r="AA381" s="8"/>
    </row>
    <row r="382" spans="1:27" s="26" customFormat="1" ht="28.5" hidden="1" customHeight="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516"/>
      <c r="AA382" s="120"/>
    </row>
    <row r="383" spans="1:27" s="26" customFormat="1" ht="28.5" hidden="1" customHeight="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Q383" s="46"/>
      <c r="R383" s="38"/>
      <c r="S383" s="8"/>
      <c r="T383" s="8"/>
      <c r="U383" s="8"/>
      <c r="V383" s="8"/>
      <c r="W383" s="8"/>
      <c r="X383" s="8"/>
      <c r="Y383" s="8"/>
      <c r="Z383" s="503"/>
      <c r="AA383" s="8"/>
    </row>
    <row r="384" spans="1:27" s="26" customFormat="1" ht="28.5" customHeight="1">
      <c r="A384" s="8" t="s">
        <v>24</v>
      </c>
      <c r="B384" s="31" t="s">
        <v>54</v>
      </c>
      <c r="C384" s="18" t="s">
        <v>1068</v>
      </c>
      <c r="D384" s="18" t="s">
        <v>1069</v>
      </c>
      <c r="E384" s="18" t="s">
        <v>1070</v>
      </c>
      <c r="F384" s="8"/>
      <c r="G384" s="18" t="s">
        <v>62</v>
      </c>
      <c r="H384" s="18" t="s">
        <v>1071</v>
      </c>
      <c r="I384" s="18" t="s">
        <v>1072</v>
      </c>
      <c r="J384" s="8"/>
      <c r="K384" s="8"/>
      <c r="L384" s="8"/>
      <c r="M384" s="8"/>
      <c r="N384" s="8"/>
      <c r="O384" s="8"/>
      <c r="P384" s="60"/>
      <c r="Q384" s="46"/>
      <c r="R384" s="38" t="s">
        <v>1520</v>
      </c>
      <c r="S384" s="8" t="s">
        <v>1521</v>
      </c>
      <c r="T384" s="8" t="s">
        <v>1522</v>
      </c>
      <c r="U384" s="8" t="s">
        <v>1357</v>
      </c>
      <c r="V384" s="8" t="s">
        <v>1191</v>
      </c>
      <c r="W384" s="8">
        <v>2023</v>
      </c>
      <c r="X384" s="8" t="s">
        <v>9</v>
      </c>
      <c r="Y384" s="8" t="s">
        <v>1523</v>
      </c>
      <c r="Z384" s="503">
        <v>0</v>
      </c>
      <c r="AA384" s="8" t="s">
        <v>1524</v>
      </c>
    </row>
    <row r="385" spans="1:51" ht="28.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503"/>
      <c r="AA385" s="8"/>
    </row>
    <row r="386" spans="1:51" s="2" customFormat="1" ht="31.5">
      <c r="A386" s="20" t="s">
        <v>24</v>
      </c>
      <c r="B386" s="32" t="s">
        <v>54</v>
      </c>
      <c r="C386" s="24" t="s">
        <v>1075</v>
      </c>
      <c r="D386" s="19" t="s">
        <v>582</v>
      </c>
      <c r="E386" s="24" t="s">
        <v>582</v>
      </c>
      <c r="F386" s="24" t="s">
        <v>582</v>
      </c>
      <c r="G386" s="19" t="s">
        <v>582</v>
      </c>
      <c r="H386" s="19" t="s">
        <v>582</v>
      </c>
      <c r="I386" s="19" t="s">
        <v>582</v>
      </c>
      <c r="J386" s="19" t="s">
        <v>582</v>
      </c>
      <c r="K386" s="19" t="s">
        <v>582</v>
      </c>
      <c r="L386" s="19" t="s">
        <v>582</v>
      </c>
      <c r="M386" s="19" t="s">
        <v>582</v>
      </c>
      <c r="N386" s="19" t="s">
        <v>582</v>
      </c>
      <c r="O386" s="19" t="s">
        <v>582</v>
      </c>
      <c r="P386" s="19" t="s">
        <v>582</v>
      </c>
      <c r="Q386" s="48"/>
      <c r="R386" s="44" t="s">
        <v>582</v>
      </c>
      <c r="S386" s="19" t="s">
        <v>582</v>
      </c>
      <c r="T386" s="19" t="s">
        <v>582</v>
      </c>
      <c r="U386" s="19"/>
      <c r="V386" s="19" t="s">
        <v>582</v>
      </c>
      <c r="W386" s="19" t="s">
        <v>582</v>
      </c>
      <c r="X386" s="19" t="s">
        <v>582</v>
      </c>
      <c r="Y386" s="19" t="s">
        <v>582</v>
      </c>
      <c r="Z386" s="19" t="s">
        <v>582</v>
      </c>
      <c r="AA386" s="19" t="s">
        <v>582</v>
      </c>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28.5" hidden="1" customHeight="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504"/>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28.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503"/>
      <c r="AA388" s="8"/>
    </row>
    <row r="389" spans="1:51" ht="28.5" hidden="1" customHeight="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503"/>
      <c r="AA389" s="8"/>
    </row>
    <row r="390" spans="1:51" ht="28.5" hidden="1" customHeight="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504"/>
      <c r="AA390" s="20"/>
    </row>
    <row r="391" spans="1:51" ht="28.5"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503"/>
      <c r="AA391" s="8"/>
    </row>
    <row r="392" spans="1:51" ht="28.5" hidden="1" customHeight="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503"/>
      <c r="AA392" s="8"/>
    </row>
    <row r="393" spans="1:51" ht="28.5" hidden="1" customHeight="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503"/>
      <c r="AA393" s="8"/>
    </row>
    <row r="394" spans="1:51" ht="28.5" hidden="1" customHeight="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503"/>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28.5"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503"/>
      <c r="AA396" s="8"/>
    </row>
    <row r="397" spans="1:51" ht="28.5"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503"/>
      <c r="AA397" s="8"/>
    </row>
    <row r="398" spans="1:51" ht="28.5"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503"/>
      <c r="AA398" s="8"/>
    </row>
    <row r="399" spans="1:51" ht="28.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503"/>
      <c r="AA399" s="8"/>
    </row>
    <row r="400" spans="1:51" s="5" customFormat="1" ht="47.25">
      <c r="A400" s="20" t="s">
        <v>24</v>
      </c>
      <c r="B400" s="32" t="s">
        <v>274</v>
      </c>
      <c r="C400" s="24" t="s">
        <v>1118</v>
      </c>
      <c r="D400" s="19" t="s">
        <v>582</v>
      </c>
      <c r="E400" s="24" t="s">
        <v>582</v>
      </c>
      <c r="F400" s="24" t="s">
        <v>582</v>
      </c>
      <c r="G400" s="19" t="s">
        <v>582</v>
      </c>
      <c r="H400" s="19" t="s">
        <v>582</v>
      </c>
      <c r="I400" s="19" t="s">
        <v>582</v>
      </c>
      <c r="J400" s="19" t="s">
        <v>582</v>
      </c>
      <c r="K400" s="19" t="s">
        <v>582</v>
      </c>
      <c r="L400" s="19" t="s">
        <v>582</v>
      </c>
      <c r="M400" s="19" t="s">
        <v>582</v>
      </c>
      <c r="N400" s="19" t="s">
        <v>582</v>
      </c>
      <c r="O400" s="19" t="s">
        <v>582</v>
      </c>
      <c r="P400" s="19" t="s">
        <v>582</v>
      </c>
      <c r="Q400" s="48"/>
      <c r="R400" s="44" t="s">
        <v>582</v>
      </c>
      <c r="S400" s="19" t="s">
        <v>582</v>
      </c>
      <c r="T400" s="19" t="s">
        <v>582</v>
      </c>
      <c r="U400" s="19"/>
      <c r="V400" s="19" t="s">
        <v>582</v>
      </c>
      <c r="W400" s="19" t="s">
        <v>582</v>
      </c>
      <c r="X400" s="19" t="s">
        <v>582</v>
      </c>
      <c r="Y400" s="19" t="s">
        <v>582</v>
      </c>
      <c r="Z400" s="19" t="s">
        <v>582</v>
      </c>
      <c r="AA400" s="19" t="s">
        <v>582</v>
      </c>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customHeight="1">
      <c r="A401" s="20" t="s">
        <v>24</v>
      </c>
      <c r="B401" s="32" t="s">
        <v>274</v>
      </c>
      <c r="C401" s="24" t="s">
        <v>1119</v>
      </c>
      <c r="D401" s="19" t="s">
        <v>582</v>
      </c>
      <c r="E401" s="24" t="s">
        <v>582</v>
      </c>
      <c r="F401" s="24" t="s">
        <v>582</v>
      </c>
      <c r="G401" s="19" t="s">
        <v>582</v>
      </c>
      <c r="H401" s="19" t="s">
        <v>582</v>
      </c>
      <c r="I401" s="19" t="s">
        <v>582</v>
      </c>
      <c r="J401" s="19" t="s">
        <v>582</v>
      </c>
      <c r="K401" s="19" t="s">
        <v>582</v>
      </c>
      <c r="L401" s="19" t="s">
        <v>582</v>
      </c>
      <c r="M401" s="19" t="s">
        <v>582</v>
      </c>
      <c r="N401" s="19" t="s">
        <v>582</v>
      </c>
      <c r="O401" s="19" t="s">
        <v>582</v>
      </c>
      <c r="P401" s="19" t="s">
        <v>582</v>
      </c>
      <c r="Q401" s="48"/>
      <c r="R401" s="44" t="s">
        <v>582</v>
      </c>
      <c r="S401" s="19" t="s">
        <v>582</v>
      </c>
      <c r="T401" s="19" t="s">
        <v>582</v>
      </c>
      <c r="U401" s="19"/>
      <c r="V401" s="19" t="s">
        <v>582</v>
      </c>
      <c r="W401" s="19" t="s">
        <v>582</v>
      </c>
      <c r="X401" s="19" t="s">
        <v>582</v>
      </c>
      <c r="Y401" s="19" t="s">
        <v>582</v>
      </c>
      <c r="Z401" s="19" t="s">
        <v>582</v>
      </c>
      <c r="AA401" s="19" t="s">
        <v>582</v>
      </c>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c r="A402" s="20" t="s">
        <v>24</v>
      </c>
      <c r="B402" s="32" t="s">
        <v>274</v>
      </c>
      <c r="C402" s="24" t="s">
        <v>1120</v>
      </c>
      <c r="D402" s="19" t="s">
        <v>582</v>
      </c>
      <c r="E402" s="24" t="s">
        <v>582</v>
      </c>
      <c r="F402" s="24" t="s">
        <v>582</v>
      </c>
      <c r="G402" s="19" t="s">
        <v>582</v>
      </c>
      <c r="H402" s="19" t="s">
        <v>582</v>
      </c>
      <c r="I402" s="19" t="s">
        <v>582</v>
      </c>
      <c r="J402" s="19" t="s">
        <v>582</v>
      </c>
      <c r="K402" s="19" t="s">
        <v>582</v>
      </c>
      <c r="L402" s="19" t="s">
        <v>582</v>
      </c>
      <c r="M402" s="19" t="s">
        <v>582</v>
      </c>
      <c r="N402" s="19" t="s">
        <v>582</v>
      </c>
      <c r="O402" s="19" t="s">
        <v>582</v>
      </c>
      <c r="P402" s="19" t="s">
        <v>582</v>
      </c>
      <c r="Q402" s="48"/>
      <c r="R402" s="44" t="s">
        <v>582</v>
      </c>
      <c r="S402" s="19" t="s">
        <v>582</v>
      </c>
      <c r="T402" s="19" t="s">
        <v>582</v>
      </c>
      <c r="U402" s="19"/>
      <c r="V402" s="19" t="s">
        <v>582</v>
      </c>
      <c r="W402" s="19" t="s">
        <v>582</v>
      </c>
      <c r="X402" s="19" t="s">
        <v>582</v>
      </c>
      <c r="Y402" s="19" t="s">
        <v>582</v>
      </c>
      <c r="Z402" s="19" t="s">
        <v>582</v>
      </c>
      <c r="AA402" s="19" t="s">
        <v>582</v>
      </c>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28.5"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503"/>
      <c r="AA403" s="8"/>
    </row>
    <row r="404" spans="1:51" ht="28.5"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503"/>
      <c r="AA404" s="8"/>
    </row>
    <row r="405" spans="1:51" ht="28.5" hidden="1" customHeight="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504"/>
      <c r="AA405" s="20"/>
    </row>
    <row r="406" spans="1:51" ht="28.5" hidden="1" customHeight="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503"/>
      <c r="AA406" s="8"/>
    </row>
    <row r="407" spans="1:51" ht="28.5" hidden="1" customHeight="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503"/>
      <c r="AA407" s="8"/>
    </row>
    <row r="408" spans="1:51" ht="28.5" hidden="1" customHeight="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503"/>
      <c r="AA408" s="8"/>
    </row>
    <row r="409" spans="1:51" ht="28.5" hidden="1" customHeight="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503"/>
      <c r="AA409" s="8"/>
    </row>
    <row r="410" spans="1:51" ht="28.5" hidden="1" customHeight="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503"/>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28.5" hidden="1" customHeight="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503"/>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c r="A414" s="20" t="s">
        <v>24</v>
      </c>
      <c r="B414" s="32" t="s">
        <v>587</v>
      </c>
      <c r="C414" s="24" t="s">
        <v>1150</v>
      </c>
      <c r="D414" s="19" t="s">
        <v>582</v>
      </c>
      <c r="E414" s="24" t="s">
        <v>582</v>
      </c>
      <c r="F414" s="24" t="s">
        <v>582</v>
      </c>
      <c r="G414" s="19" t="s">
        <v>582</v>
      </c>
      <c r="H414" s="19" t="s">
        <v>582</v>
      </c>
      <c r="I414" s="19" t="s">
        <v>582</v>
      </c>
      <c r="J414" s="19" t="s">
        <v>582</v>
      </c>
      <c r="K414" s="19" t="s">
        <v>582</v>
      </c>
      <c r="L414" s="19" t="s">
        <v>582</v>
      </c>
      <c r="M414" s="19" t="s">
        <v>582</v>
      </c>
      <c r="N414" s="19" t="s">
        <v>582</v>
      </c>
      <c r="O414" s="19" t="s">
        <v>582</v>
      </c>
      <c r="P414" s="19" t="s">
        <v>582</v>
      </c>
      <c r="Q414" s="48"/>
      <c r="R414" s="44" t="s">
        <v>582</v>
      </c>
      <c r="S414" s="19" t="s">
        <v>582</v>
      </c>
      <c r="T414" s="19" t="s">
        <v>582</v>
      </c>
      <c r="U414" s="19"/>
      <c r="V414" s="19" t="s">
        <v>582</v>
      </c>
      <c r="W414" s="19" t="s">
        <v>582</v>
      </c>
      <c r="X414" s="19" t="s">
        <v>582</v>
      </c>
      <c r="Y414" s="19" t="s">
        <v>582</v>
      </c>
      <c r="Z414" s="19" t="s">
        <v>582</v>
      </c>
      <c r="AA414" s="19" t="s">
        <v>582</v>
      </c>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28.5" customHeight="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t="s">
        <v>1525</v>
      </c>
      <c r="S415" s="8" t="s">
        <v>1355</v>
      </c>
      <c r="T415" s="8" t="s">
        <v>1526</v>
      </c>
      <c r="U415" s="8" t="s">
        <v>1357</v>
      </c>
      <c r="V415" s="8" t="s">
        <v>8</v>
      </c>
      <c r="W415" s="8">
        <v>2023</v>
      </c>
      <c r="X415" s="8" t="s">
        <v>9</v>
      </c>
      <c r="Y415" s="8" t="s">
        <v>1527</v>
      </c>
      <c r="Z415" s="503">
        <v>0</v>
      </c>
      <c r="AA415" s="8" t="s">
        <v>1528</v>
      </c>
    </row>
    <row r="416" spans="1:51" ht="28.5" hidden="1" customHeight="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517"/>
      <c r="AA416" s="128"/>
    </row>
    <row r="417" spans="1:51" ht="28.5"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503"/>
      <c r="AA417" s="8"/>
    </row>
    <row r="418" spans="1:51" ht="39"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t="s">
        <v>1570</v>
      </c>
      <c r="S418" s="8" t="s">
        <v>1571</v>
      </c>
      <c r="T418" s="8"/>
      <c r="U418" s="8" t="s">
        <v>1369</v>
      </c>
      <c r="V418" s="8" t="s">
        <v>1191</v>
      </c>
      <c r="W418" s="8">
        <v>2022</v>
      </c>
      <c r="X418" s="8" t="s">
        <v>9</v>
      </c>
      <c r="Y418" s="8" t="s">
        <v>1572</v>
      </c>
      <c r="Z418" s="503">
        <v>93000</v>
      </c>
      <c r="AA418" s="8" t="s">
        <v>1573</v>
      </c>
    </row>
    <row r="419" spans="1:51" ht="42.75" hidden="1" customHeight="1">
      <c r="A419" s="24" t="s">
        <v>26</v>
      </c>
      <c r="B419" s="32" t="s">
        <v>54</v>
      </c>
      <c r="C419" s="24" t="s">
        <v>1166</v>
      </c>
      <c r="D419" s="19"/>
      <c r="E419" s="24"/>
      <c r="F419" s="24" t="s">
        <v>582</v>
      </c>
      <c r="G419" s="19" t="s">
        <v>582</v>
      </c>
      <c r="H419" s="19" t="s">
        <v>582</v>
      </c>
      <c r="I419" s="19" t="s">
        <v>582</v>
      </c>
      <c r="J419" s="19" t="s">
        <v>582</v>
      </c>
      <c r="K419" s="19" t="s">
        <v>582</v>
      </c>
      <c r="L419" s="19" t="s">
        <v>582</v>
      </c>
      <c r="M419" s="19" t="s">
        <v>582</v>
      </c>
      <c r="N419" s="19" t="s">
        <v>582</v>
      </c>
      <c r="O419" s="19" t="s">
        <v>582</v>
      </c>
      <c r="P419" s="19" t="s">
        <v>582</v>
      </c>
      <c r="Q419" s="48"/>
      <c r="R419" s="44"/>
      <c r="S419" s="19"/>
      <c r="T419" s="19"/>
      <c r="U419" s="19"/>
      <c r="V419" s="19"/>
      <c r="W419" s="19"/>
      <c r="X419" s="19"/>
      <c r="Y419" s="19"/>
      <c r="Z419" s="19"/>
      <c r="AA419" s="19"/>
    </row>
    <row r="420" spans="1:51" ht="28.5" customHeight="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t="s">
        <v>1574</v>
      </c>
      <c r="S420" s="8" t="s">
        <v>1571</v>
      </c>
      <c r="T420" s="8"/>
      <c r="U420" s="8" t="s">
        <v>1369</v>
      </c>
      <c r="V420" s="8" t="s">
        <v>1191</v>
      </c>
      <c r="W420" s="8">
        <v>2022</v>
      </c>
      <c r="X420" s="8" t="s">
        <v>9</v>
      </c>
      <c r="Y420" s="8" t="s">
        <v>1572</v>
      </c>
      <c r="Z420" s="503">
        <v>0</v>
      </c>
      <c r="AA420" s="8" t="s">
        <v>1575</v>
      </c>
    </row>
    <row r="421" spans="1:51" ht="22.5"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503"/>
      <c r="AA421" s="8"/>
    </row>
    <row r="422" spans="1:51" s="2" customFormat="1" ht="15" hidden="1" customHeight="1">
      <c r="A422" s="24" t="s">
        <v>26</v>
      </c>
      <c r="B422" s="32" t="s">
        <v>195</v>
      </c>
      <c r="C422" s="24" t="s">
        <v>1176</v>
      </c>
      <c r="D422" s="19"/>
      <c r="E422" s="24"/>
      <c r="F422" s="24" t="s">
        <v>582</v>
      </c>
      <c r="G422" s="24" t="s">
        <v>582</v>
      </c>
      <c r="H422" s="19" t="s">
        <v>582</v>
      </c>
      <c r="I422" s="19" t="s">
        <v>582</v>
      </c>
      <c r="J422" s="19" t="s">
        <v>582</v>
      </c>
      <c r="K422" s="19" t="s">
        <v>582</v>
      </c>
      <c r="L422" s="19" t="s">
        <v>582</v>
      </c>
      <c r="M422" s="19" t="s">
        <v>582</v>
      </c>
      <c r="N422" s="19" t="s">
        <v>582</v>
      </c>
      <c r="O422" s="19" t="s">
        <v>582</v>
      </c>
      <c r="P422" s="19" t="s">
        <v>582</v>
      </c>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33.75" hidden="1" customHeight="1">
      <c r="A423" s="24" t="s">
        <v>26</v>
      </c>
      <c r="B423" s="32" t="s">
        <v>195</v>
      </c>
      <c r="C423" s="24" t="s">
        <v>1177</v>
      </c>
      <c r="D423" s="19"/>
      <c r="E423" s="24"/>
      <c r="F423" s="24" t="s">
        <v>582</v>
      </c>
      <c r="G423" s="24" t="s">
        <v>582</v>
      </c>
      <c r="H423" s="19" t="s">
        <v>582</v>
      </c>
      <c r="I423" s="19" t="s">
        <v>582</v>
      </c>
      <c r="J423" s="19" t="s">
        <v>582</v>
      </c>
      <c r="K423" s="19" t="s">
        <v>582</v>
      </c>
      <c r="L423" s="19" t="s">
        <v>582</v>
      </c>
      <c r="M423" s="19" t="s">
        <v>582</v>
      </c>
      <c r="N423" s="19" t="s">
        <v>582</v>
      </c>
      <c r="O423" s="19" t="s">
        <v>582</v>
      </c>
      <c r="P423" s="19" t="s">
        <v>582</v>
      </c>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15" hidden="1" customHeight="1">
      <c r="A424" s="24" t="s">
        <v>26</v>
      </c>
      <c r="B424" s="32" t="s">
        <v>195</v>
      </c>
      <c r="C424" s="24" t="s">
        <v>1178</v>
      </c>
      <c r="D424" s="19"/>
      <c r="E424" s="24"/>
      <c r="F424" s="24" t="s">
        <v>582</v>
      </c>
      <c r="G424" s="24" t="s">
        <v>582</v>
      </c>
      <c r="H424" s="19" t="s">
        <v>582</v>
      </c>
      <c r="I424" s="19" t="s">
        <v>582</v>
      </c>
      <c r="J424" s="19" t="s">
        <v>582</v>
      </c>
      <c r="K424" s="19" t="s">
        <v>582</v>
      </c>
      <c r="L424" s="19" t="s">
        <v>582</v>
      </c>
      <c r="M424" s="19" t="s">
        <v>582</v>
      </c>
      <c r="N424" s="19" t="s">
        <v>582</v>
      </c>
      <c r="O424" s="19" t="s">
        <v>582</v>
      </c>
      <c r="P424" s="19" t="s">
        <v>582</v>
      </c>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24.75" hidden="1" customHeight="1">
      <c r="A425" s="24" t="s">
        <v>26</v>
      </c>
      <c r="B425" s="32" t="s">
        <v>274</v>
      </c>
      <c r="C425" s="24" t="s">
        <v>1179</v>
      </c>
      <c r="D425" s="19"/>
      <c r="E425" s="24"/>
      <c r="F425" s="24" t="s">
        <v>582</v>
      </c>
      <c r="G425" s="24" t="s">
        <v>582</v>
      </c>
      <c r="H425" s="19" t="s">
        <v>582</v>
      </c>
      <c r="I425" s="19" t="s">
        <v>582</v>
      </c>
      <c r="J425" s="19" t="s">
        <v>582</v>
      </c>
      <c r="K425" s="19" t="s">
        <v>582</v>
      </c>
      <c r="L425" s="19" t="s">
        <v>582</v>
      </c>
      <c r="M425" s="19" t="s">
        <v>582</v>
      </c>
      <c r="N425" s="19" t="s">
        <v>582</v>
      </c>
      <c r="O425" s="19" t="s">
        <v>582</v>
      </c>
      <c r="P425" s="19" t="s">
        <v>582</v>
      </c>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24.75" hidden="1" customHeight="1">
      <c r="A426" s="24" t="s">
        <v>26</v>
      </c>
      <c r="B426" s="32" t="s">
        <v>274</v>
      </c>
      <c r="C426" s="24" t="s">
        <v>1180</v>
      </c>
      <c r="D426" s="19"/>
      <c r="E426" s="24"/>
      <c r="F426" s="24" t="s">
        <v>582</v>
      </c>
      <c r="G426" s="24" t="s">
        <v>582</v>
      </c>
      <c r="H426" s="19" t="s">
        <v>582</v>
      </c>
      <c r="I426" s="19" t="s">
        <v>582</v>
      </c>
      <c r="J426" s="19" t="s">
        <v>582</v>
      </c>
      <c r="K426" s="19" t="s">
        <v>582</v>
      </c>
      <c r="L426" s="19" t="s">
        <v>582</v>
      </c>
      <c r="M426" s="19" t="s">
        <v>582</v>
      </c>
      <c r="N426" s="19" t="s">
        <v>582</v>
      </c>
      <c r="O426" s="19" t="s">
        <v>582</v>
      </c>
      <c r="P426" s="19" t="s">
        <v>582</v>
      </c>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20.25" hidden="1" customHeight="1">
      <c r="A427" s="24" t="s">
        <v>26</v>
      </c>
      <c r="B427" s="32" t="s">
        <v>274</v>
      </c>
      <c r="C427" s="24" t="s">
        <v>1181</v>
      </c>
      <c r="D427" s="19"/>
      <c r="E427" s="24"/>
      <c r="F427" s="24" t="s">
        <v>582</v>
      </c>
      <c r="G427" s="24" t="s">
        <v>582</v>
      </c>
      <c r="H427" s="19" t="s">
        <v>582</v>
      </c>
      <c r="I427" s="19" t="s">
        <v>582</v>
      </c>
      <c r="J427" s="19" t="s">
        <v>582</v>
      </c>
      <c r="K427" s="19" t="s">
        <v>582</v>
      </c>
      <c r="L427" s="19" t="s">
        <v>582</v>
      </c>
      <c r="M427" s="19" t="s">
        <v>582</v>
      </c>
      <c r="N427" s="19" t="s">
        <v>582</v>
      </c>
      <c r="O427" s="19" t="s">
        <v>582</v>
      </c>
      <c r="P427" s="19" t="s">
        <v>582</v>
      </c>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25.5" hidden="1" customHeight="1">
      <c r="A428" s="24" t="s">
        <v>26</v>
      </c>
      <c r="B428" s="32" t="s">
        <v>274</v>
      </c>
      <c r="C428" s="24" t="s">
        <v>1182</v>
      </c>
      <c r="D428" s="19"/>
      <c r="E428" s="24"/>
      <c r="F428" s="24" t="s">
        <v>582</v>
      </c>
      <c r="G428" s="24" t="s">
        <v>582</v>
      </c>
      <c r="H428" s="19" t="s">
        <v>582</v>
      </c>
      <c r="I428" s="19" t="s">
        <v>582</v>
      </c>
      <c r="J428" s="19" t="s">
        <v>582</v>
      </c>
      <c r="K428" s="19" t="s">
        <v>582</v>
      </c>
      <c r="L428" s="19" t="s">
        <v>582</v>
      </c>
      <c r="M428" s="19" t="s">
        <v>582</v>
      </c>
      <c r="N428" s="19" t="s">
        <v>582</v>
      </c>
      <c r="O428" s="19" t="s">
        <v>582</v>
      </c>
      <c r="P428" s="19" t="s">
        <v>582</v>
      </c>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29.25" hidden="1" customHeight="1">
      <c r="A429" s="24" t="s">
        <v>26</v>
      </c>
      <c r="B429" s="32" t="s">
        <v>587</v>
      </c>
      <c r="C429" s="24" t="s">
        <v>1183</v>
      </c>
      <c r="D429" s="19"/>
      <c r="E429" s="24"/>
      <c r="F429" s="24" t="s">
        <v>582</v>
      </c>
      <c r="G429" s="24" t="s">
        <v>582</v>
      </c>
      <c r="H429" s="19" t="s">
        <v>582</v>
      </c>
      <c r="I429" s="19" t="s">
        <v>582</v>
      </c>
      <c r="J429" s="19" t="s">
        <v>582</v>
      </c>
      <c r="K429" s="19" t="s">
        <v>582</v>
      </c>
      <c r="L429" s="19" t="s">
        <v>582</v>
      </c>
      <c r="M429" s="19" t="s">
        <v>582</v>
      </c>
      <c r="N429" s="19" t="s">
        <v>582</v>
      </c>
      <c r="O429" s="19" t="s">
        <v>582</v>
      </c>
      <c r="P429" s="19" t="s">
        <v>582</v>
      </c>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29.25" hidden="1" customHeight="1">
      <c r="A430" s="24" t="s">
        <v>26</v>
      </c>
      <c r="B430" s="32" t="s">
        <v>587</v>
      </c>
      <c r="C430" s="24" t="s">
        <v>1184</v>
      </c>
      <c r="D430" s="19"/>
      <c r="E430" s="24"/>
      <c r="F430" s="24" t="s">
        <v>582</v>
      </c>
      <c r="G430" s="24" t="s">
        <v>582</v>
      </c>
      <c r="H430" s="19" t="s">
        <v>582</v>
      </c>
      <c r="I430" s="19" t="s">
        <v>582</v>
      </c>
      <c r="J430" s="19" t="s">
        <v>582</v>
      </c>
      <c r="K430" s="19" t="s">
        <v>582</v>
      </c>
      <c r="L430" s="19" t="s">
        <v>582</v>
      </c>
      <c r="M430" s="19" t="s">
        <v>582</v>
      </c>
      <c r="N430" s="19" t="s">
        <v>582</v>
      </c>
      <c r="O430" s="19" t="s">
        <v>582</v>
      </c>
      <c r="P430" s="19" t="s">
        <v>582</v>
      </c>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15.75" hidden="1" customHeight="1">
      <c r="A431" s="24" t="s">
        <v>26</v>
      </c>
      <c r="B431" s="32" t="s">
        <v>587</v>
      </c>
      <c r="C431" s="24" t="s">
        <v>1185</v>
      </c>
      <c r="D431" s="19"/>
      <c r="E431" s="24"/>
      <c r="F431" s="24" t="s">
        <v>582</v>
      </c>
      <c r="G431" s="24" t="s">
        <v>582</v>
      </c>
      <c r="H431" s="19" t="s">
        <v>582</v>
      </c>
      <c r="I431" s="19" t="s">
        <v>582</v>
      </c>
      <c r="J431" s="19" t="s">
        <v>582</v>
      </c>
      <c r="K431" s="19" t="s">
        <v>582</v>
      </c>
      <c r="L431" s="19" t="s">
        <v>582</v>
      </c>
      <c r="M431" s="19" t="s">
        <v>582</v>
      </c>
      <c r="N431" s="19" t="s">
        <v>582</v>
      </c>
      <c r="O431" s="19" t="s">
        <v>582</v>
      </c>
      <c r="P431" s="19" t="s">
        <v>582</v>
      </c>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28.5"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503"/>
      <c r="AA432" s="8"/>
    </row>
    <row r="433" spans="2:27" s="26" customFormat="1" ht="28.5" customHeight="1">
      <c r="B433" s="33"/>
      <c r="C433" s="27"/>
      <c r="D433" s="27"/>
      <c r="P433" s="1"/>
      <c r="Q433" s="46"/>
      <c r="Z433" s="518"/>
      <c r="AA433" s="1"/>
    </row>
    <row r="434" spans="2:27" s="26" customFormat="1" ht="28.5" customHeight="1">
      <c r="B434" s="33"/>
      <c r="C434" s="27"/>
      <c r="D434" s="27"/>
      <c r="P434" s="1"/>
      <c r="Q434" s="46"/>
      <c r="Z434" s="518"/>
      <c r="AA434" s="1"/>
    </row>
    <row r="435" spans="2:27" s="26" customFormat="1" ht="28.5" customHeight="1">
      <c r="B435" s="33"/>
      <c r="C435" s="27"/>
      <c r="D435" s="27"/>
      <c r="P435" s="1"/>
      <c r="Q435" s="46"/>
      <c r="Z435" s="518"/>
      <c r="AA435" s="1"/>
    </row>
    <row r="436" spans="2:27" s="26" customFormat="1" ht="28.5" customHeight="1">
      <c r="B436" s="33"/>
      <c r="C436" s="27"/>
      <c r="D436" s="27"/>
      <c r="P436" s="1"/>
      <c r="Q436" s="46"/>
      <c r="Z436" s="518"/>
      <c r="AA436" s="1"/>
    </row>
    <row r="437" spans="2:27" s="26" customFormat="1" ht="28.5" customHeight="1">
      <c r="B437" s="33"/>
      <c r="C437" s="27"/>
      <c r="D437" s="27"/>
      <c r="P437" s="1"/>
      <c r="Q437" s="46"/>
      <c r="Z437" s="518"/>
      <c r="AA437" s="1"/>
    </row>
    <row r="438" spans="2:27" s="26" customFormat="1" ht="28.5" customHeight="1">
      <c r="B438" s="33"/>
      <c r="C438" s="27"/>
      <c r="D438" s="27"/>
      <c r="P438" s="1"/>
      <c r="Q438" s="46"/>
      <c r="Z438" s="518"/>
      <c r="AA438" s="1"/>
    </row>
    <row r="439" spans="2:27" s="26" customFormat="1" ht="28.5" customHeight="1">
      <c r="B439" s="33"/>
      <c r="C439" s="27"/>
      <c r="D439" s="27"/>
      <c r="P439" s="1"/>
      <c r="Q439" s="46"/>
      <c r="Z439" s="518"/>
      <c r="AA439" s="1"/>
    </row>
    <row r="440" spans="2:27" s="26" customFormat="1" ht="28.5" customHeight="1">
      <c r="B440" s="33"/>
      <c r="C440" s="27"/>
      <c r="D440" s="27"/>
      <c r="P440" s="1"/>
      <c r="Q440" s="46"/>
      <c r="Z440" s="518"/>
      <c r="AA440" s="1"/>
    </row>
    <row r="441" spans="2:27" s="26" customFormat="1" ht="28.5" customHeight="1">
      <c r="B441" s="33"/>
      <c r="C441" s="27"/>
      <c r="D441" s="27"/>
      <c r="P441" s="1"/>
      <c r="Q441" s="46"/>
      <c r="Z441" s="518"/>
      <c r="AA441" s="1"/>
    </row>
    <row r="442" spans="2:27" s="26" customFormat="1" ht="28.5" customHeight="1">
      <c r="B442" s="33"/>
      <c r="C442" s="27"/>
      <c r="D442" s="27"/>
      <c r="P442" s="1"/>
      <c r="Q442" s="46"/>
      <c r="Z442" s="518"/>
      <c r="AA442" s="1"/>
    </row>
    <row r="443" spans="2:27" s="26" customFormat="1" ht="28.5" customHeight="1">
      <c r="B443" s="33"/>
      <c r="C443" s="27"/>
      <c r="D443" s="27"/>
      <c r="P443" s="1"/>
      <c r="Q443" s="46"/>
      <c r="Z443" s="518"/>
      <c r="AA443" s="1"/>
    </row>
    <row r="444" spans="2:27" s="26" customFormat="1" ht="28.5" customHeight="1">
      <c r="B444" s="33"/>
      <c r="C444" s="27"/>
      <c r="D444" s="27"/>
      <c r="P444" s="1"/>
      <c r="Q444" s="46"/>
      <c r="Z444" s="518"/>
      <c r="AA444" s="1"/>
    </row>
    <row r="445" spans="2:27" s="26" customFormat="1" ht="28.5" customHeight="1">
      <c r="B445" s="33"/>
      <c r="C445" s="27"/>
      <c r="D445" s="27"/>
      <c r="P445" s="1"/>
      <c r="Q445" s="46"/>
      <c r="Z445" s="518"/>
      <c r="AA445" s="1"/>
    </row>
    <row r="446" spans="2:27" s="26" customFormat="1" ht="28.5" customHeight="1">
      <c r="B446" s="33"/>
      <c r="C446" s="27"/>
      <c r="D446" s="27"/>
      <c r="P446" s="1"/>
      <c r="Q446" s="46"/>
      <c r="Z446" s="518"/>
      <c r="AA446" s="1"/>
    </row>
    <row r="447" spans="2:27" s="26" customFormat="1" ht="28.5" customHeight="1">
      <c r="B447" s="33"/>
      <c r="C447" s="27"/>
      <c r="D447" s="27"/>
      <c r="P447" s="1"/>
      <c r="Q447" s="46"/>
      <c r="Z447" s="518"/>
      <c r="AA447" s="1"/>
    </row>
    <row r="448" spans="2:27" s="26" customFormat="1" ht="28.5" customHeight="1">
      <c r="B448" s="33"/>
      <c r="C448" s="27"/>
      <c r="D448" s="27"/>
      <c r="P448" s="1"/>
      <c r="Q448" s="46"/>
      <c r="Z448" s="518"/>
      <c r="AA448" s="1"/>
    </row>
    <row r="449" spans="2:27" s="26" customFormat="1" ht="28.5" customHeight="1">
      <c r="B449" s="33"/>
      <c r="C449" s="27"/>
      <c r="D449" s="27"/>
      <c r="P449" s="1"/>
      <c r="Q449" s="46"/>
      <c r="Z449" s="518"/>
      <c r="AA449" s="1"/>
    </row>
    <row r="450" spans="2:27" s="26" customFormat="1" ht="28.5" customHeight="1">
      <c r="B450" s="33"/>
      <c r="C450" s="27"/>
      <c r="D450" s="27"/>
      <c r="P450" s="1"/>
      <c r="Q450" s="46"/>
      <c r="Z450" s="518"/>
      <c r="AA450" s="1"/>
    </row>
    <row r="451" spans="2:27" s="26" customFormat="1" ht="28.5" customHeight="1">
      <c r="B451" s="33"/>
      <c r="C451" s="27"/>
      <c r="D451" s="27"/>
      <c r="P451" s="1"/>
      <c r="Q451" s="46"/>
      <c r="Z451" s="518"/>
      <c r="AA451" s="1"/>
    </row>
    <row r="452" spans="2:27" s="26" customFormat="1" ht="28.5" customHeight="1">
      <c r="B452" s="33"/>
      <c r="C452" s="27"/>
      <c r="D452" s="27"/>
      <c r="P452" s="1"/>
      <c r="Q452" s="46"/>
      <c r="Z452" s="518"/>
      <c r="AA452" s="1"/>
    </row>
    <row r="453" spans="2:27" s="26" customFormat="1" ht="28.5" customHeight="1">
      <c r="B453" s="33"/>
      <c r="C453" s="27"/>
      <c r="D453" s="27"/>
      <c r="P453" s="1"/>
      <c r="Q453" s="46"/>
      <c r="Z453" s="518"/>
      <c r="AA453" s="1"/>
    </row>
    <row r="454" spans="2:27" s="26" customFormat="1" ht="28.5" customHeight="1">
      <c r="B454" s="33"/>
      <c r="C454" s="27"/>
      <c r="D454" s="27"/>
      <c r="P454" s="1"/>
      <c r="Q454" s="46"/>
      <c r="Z454" s="518"/>
      <c r="AA454" s="1"/>
    </row>
    <row r="455" spans="2:27" s="26" customFormat="1" ht="28.5" customHeight="1">
      <c r="B455" s="33"/>
      <c r="C455" s="27"/>
      <c r="D455" s="27"/>
      <c r="P455" s="1"/>
      <c r="Q455" s="46"/>
      <c r="Z455" s="518"/>
      <c r="AA455" s="1"/>
    </row>
    <row r="456" spans="2:27" s="26" customFormat="1" ht="28.5" customHeight="1">
      <c r="B456" s="33"/>
      <c r="C456" s="27"/>
      <c r="D456" s="27"/>
      <c r="P456" s="1"/>
      <c r="Q456" s="46"/>
      <c r="Z456" s="518"/>
      <c r="AA456" s="1"/>
    </row>
    <row r="457" spans="2:27" s="26" customFormat="1" ht="28.5" customHeight="1">
      <c r="B457" s="33"/>
      <c r="C457" s="27"/>
      <c r="D457" s="27"/>
      <c r="P457" s="1"/>
      <c r="Q457" s="46"/>
      <c r="Z457" s="518"/>
      <c r="AA457" s="1"/>
    </row>
    <row r="458" spans="2:27" s="26" customFormat="1" ht="28.5" customHeight="1">
      <c r="B458" s="33"/>
      <c r="C458" s="27"/>
      <c r="D458" s="27"/>
      <c r="P458" s="1"/>
      <c r="Q458" s="46"/>
      <c r="Z458" s="518"/>
      <c r="AA458" s="1"/>
    </row>
    <row r="459" spans="2:27" s="26" customFormat="1" ht="28.5" customHeight="1">
      <c r="B459" s="33"/>
      <c r="C459" s="27"/>
      <c r="D459" s="27"/>
      <c r="P459" s="1"/>
      <c r="Q459" s="46"/>
      <c r="Z459" s="518"/>
      <c r="AA459" s="1"/>
    </row>
    <row r="460" spans="2:27" s="26" customFormat="1" ht="28.5" customHeight="1">
      <c r="B460" s="33"/>
      <c r="C460" s="27"/>
      <c r="D460" s="27"/>
      <c r="P460" s="1"/>
      <c r="Q460" s="46"/>
      <c r="Z460" s="518"/>
      <c r="AA460" s="1"/>
    </row>
    <row r="461" spans="2:27" s="26" customFormat="1" ht="28.5" customHeight="1">
      <c r="B461" s="33"/>
      <c r="C461" s="27"/>
      <c r="D461" s="27"/>
      <c r="P461" s="1"/>
      <c r="Q461" s="46"/>
      <c r="Z461" s="518"/>
      <c r="AA461" s="1"/>
    </row>
    <row r="462" spans="2:27" s="26" customFormat="1" ht="28.5" customHeight="1">
      <c r="B462" s="33"/>
      <c r="C462" s="27"/>
      <c r="D462" s="27"/>
      <c r="P462" s="1"/>
      <c r="Q462" s="46"/>
      <c r="Z462" s="518"/>
      <c r="AA462" s="1"/>
    </row>
    <row r="463" spans="2:27" s="26" customFormat="1" ht="28.5" customHeight="1">
      <c r="B463" s="33"/>
      <c r="C463" s="27"/>
      <c r="D463" s="27"/>
      <c r="P463" s="1"/>
      <c r="Q463" s="46"/>
      <c r="Z463" s="518"/>
      <c r="AA463" s="1"/>
    </row>
    <row r="464" spans="2:27" s="26" customFormat="1" ht="28.5" customHeight="1">
      <c r="B464" s="33"/>
      <c r="C464" s="27"/>
      <c r="D464" s="27"/>
      <c r="P464" s="1"/>
      <c r="Q464" s="46"/>
      <c r="Z464" s="518"/>
      <c r="AA464" s="1"/>
    </row>
    <row r="465" spans="2:27" s="26" customFormat="1" ht="28.5" customHeight="1">
      <c r="B465" s="33"/>
      <c r="C465" s="27"/>
      <c r="D465" s="27"/>
      <c r="P465" s="1"/>
      <c r="Q465" s="46"/>
      <c r="Z465" s="518"/>
      <c r="AA465" s="1"/>
    </row>
    <row r="466" spans="2:27" s="26" customFormat="1" ht="28.5" customHeight="1">
      <c r="B466" s="33"/>
      <c r="C466" s="27"/>
      <c r="D466" s="27"/>
      <c r="P466" s="1"/>
      <c r="Q466" s="46"/>
      <c r="Z466" s="518"/>
      <c r="AA466" s="1"/>
    </row>
    <row r="467" spans="2:27" s="26" customFormat="1" ht="28.5" customHeight="1">
      <c r="B467" s="33"/>
      <c r="C467" s="27"/>
      <c r="D467" s="27"/>
      <c r="P467" s="1"/>
      <c r="Q467" s="46"/>
      <c r="Z467" s="518"/>
      <c r="AA467" s="1"/>
    </row>
    <row r="468" spans="2:27" s="26" customFormat="1" ht="28.5" customHeight="1">
      <c r="B468" s="33"/>
      <c r="C468" s="27"/>
      <c r="D468" s="27"/>
      <c r="P468" s="1"/>
      <c r="Q468" s="46"/>
      <c r="Z468" s="518"/>
      <c r="AA468" s="1"/>
    </row>
    <row r="469" spans="2:27" s="26" customFormat="1" ht="28.5" customHeight="1">
      <c r="B469" s="33"/>
      <c r="C469" s="27"/>
      <c r="D469" s="27"/>
      <c r="P469" s="1"/>
      <c r="Q469" s="46"/>
      <c r="Z469" s="518"/>
      <c r="AA469" s="1"/>
    </row>
    <row r="470" spans="2:27" s="26" customFormat="1" ht="28.5" customHeight="1">
      <c r="B470" s="33"/>
      <c r="C470" s="27"/>
      <c r="D470" s="27"/>
      <c r="P470" s="1"/>
      <c r="Q470" s="46"/>
      <c r="Z470" s="518"/>
      <c r="AA470" s="1"/>
    </row>
    <row r="471" spans="2:27" s="26" customFormat="1" ht="28.5" customHeight="1">
      <c r="B471" s="33"/>
      <c r="C471" s="27"/>
      <c r="D471" s="27"/>
      <c r="P471" s="1"/>
      <c r="Q471" s="46"/>
      <c r="Z471" s="518"/>
      <c r="AA471" s="1"/>
    </row>
    <row r="472" spans="2:27" s="26" customFormat="1" ht="28.5" customHeight="1">
      <c r="B472" s="33"/>
      <c r="C472" s="27"/>
      <c r="D472" s="27"/>
      <c r="P472" s="1"/>
      <c r="Q472" s="46"/>
      <c r="Z472" s="518"/>
      <c r="AA472" s="1"/>
    </row>
    <row r="473" spans="2:27" s="26" customFormat="1" ht="28.5" customHeight="1">
      <c r="B473" s="33"/>
      <c r="C473" s="27"/>
      <c r="D473" s="27"/>
      <c r="P473" s="1"/>
      <c r="Q473" s="46"/>
      <c r="Z473" s="518"/>
      <c r="AA473" s="1"/>
    </row>
    <row r="474" spans="2:27" s="26" customFormat="1" ht="28.5" customHeight="1">
      <c r="B474" s="33"/>
      <c r="C474" s="27"/>
      <c r="D474" s="27"/>
      <c r="P474" s="1"/>
      <c r="Q474" s="46"/>
      <c r="Z474" s="518"/>
      <c r="AA474" s="1"/>
    </row>
    <row r="475" spans="2:27" s="26" customFormat="1" ht="28.5" customHeight="1">
      <c r="B475" s="33"/>
      <c r="C475" s="27"/>
      <c r="D475" s="27"/>
      <c r="P475" s="1"/>
      <c r="Q475" s="46"/>
      <c r="Z475" s="518"/>
      <c r="AA475" s="1"/>
    </row>
    <row r="476" spans="2:27" s="26" customFormat="1" ht="28.5" customHeight="1">
      <c r="B476" s="33"/>
      <c r="C476" s="27"/>
      <c r="D476" s="27"/>
      <c r="P476" s="1"/>
      <c r="Q476" s="46"/>
      <c r="Z476" s="518"/>
      <c r="AA476" s="1"/>
    </row>
    <row r="477" spans="2:27" s="26" customFormat="1" ht="28.5" customHeight="1">
      <c r="B477" s="33"/>
      <c r="C477" s="27"/>
      <c r="D477" s="27"/>
      <c r="P477" s="1"/>
      <c r="Q477" s="46"/>
      <c r="Z477" s="518"/>
      <c r="AA477" s="1"/>
    </row>
    <row r="478" spans="2:27" s="26" customFormat="1" ht="28.5" customHeight="1">
      <c r="B478" s="33"/>
      <c r="C478" s="27"/>
      <c r="D478" s="27"/>
      <c r="P478" s="1"/>
      <c r="Q478" s="46"/>
      <c r="Z478" s="518"/>
      <c r="AA478" s="1"/>
    </row>
    <row r="479" spans="2:27" s="26" customFormat="1" ht="28.5" customHeight="1">
      <c r="B479" s="33"/>
      <c r="C479" s="27"/>
      <c r="D479" s="27"/>
      <c r="P479" s="1"/>
      <c r="Q479" s="46"/>
      <c r="Z479" s="518"/>
      <c r="AA479" s="1"/>
    </row>
    <row r="480" spans="2:27" s="26" customFormat="1" ht="28.5" customHeight="1">
      <c r="B480" s="33"/>
      <c r="C480" s="27"/>
      <c r="D480" s="27"/>
      <c r="P480" s="1"/>
      <c r="Q480" s="46"/>
      <c r="Z480" s="518"/>
      <c r="AA480" s="1"/>
    </row>
    <row r="481" spans="2:27" s="26" customFormat="1" ht="28.5" customHeight="1">
      <c r="B481" s="33"/>
      <c r="C481" s="27"/>
      <c r="D481" s="27"/>
      <c r="P481" s="1"/>
      <c r="Q481" s="46"/>
      <c r="Z481" s="518"/>
      <c r="AA481" s="1"/>
    </row>
    <row r="482" spans="2:27" s="26" customFormat="1" ht="28.5" customHeight="1">
      <c r="B482" s="33"/>
      <c r="C482" s="27"/>
      <c r="D482" s="27"/>
      <c r="P482" s="1"/>
      <c r="Q482" s="46"/>
      <c r="Z482" s="518"/>
      <c r="AA482" s="1"/>
    </row>
    <row r="483" spans="2:27" s="26" customFormat="1" ht="28.5" customHeight="1">
      <c r="B483" s="33"/>
      <c r="C483" s="27"/>
      <c r="D483" s="27"/>
      <c r="P483" s="1"/>
      <c r="Q483" s="46"/>
      <c r="Z483" s="518"/>
      <c r="AA483" s="1"/>
    </row>
    <row r="484" spans="2:27" s="26" customFormat="1" ht="28.5" customHeight="1">
      <c r="B484" s="33"/>
      <c r="C484" s="27"/>
      <c r="D484" s="27"/>
      <c r="P484" s="1"/>
      <c r="Q484" s="46"/>
      <c r="Z484" s="518"/>
      <c r="AA484" s="1"/>
    </row>
    <row r="485" spans="2:27" s="26" customFormat="1" ht="28.5" customHeight="1">
      <c r="B485" s="33"/>
      <c r="C485" s="27"/>
      <c r="D485" s="27"/>
      <c r="P485" s="1"/>
      <c r="Q485" s="46"/>
      <c r="Z485" s="518"/>
      <c r="AA485" s="1"/>
    </row>
    <row r="486" spans="2:27" s="26" customFormat="1" ht="28.5" customHeight="1">
      <c r="B486" s="33"/>
      <c r="C486" s="27"/>
      <c r="D486" s="27"/>
      <c r="P486" s="1"/>
      <c r="Q486" s="46"/>
      <c r="Z486" s="518"/>
      <c r="AA486" s="1"/>
    </row>
    <row r="487" spans="2:27" s="26" customFormat="1" ht="28.5" customHeight="1">
      <c r="B487" s="33"/>
      <c r="C487" s="27"/>
      <c r="D487" s="27"/>
      <c r="P487" s="1"/>
      <c r="Q487" s="46"/>
      <c r="Z487" s="518"/>
      <c r="AA487" s="1"/>
    </row>
    <row r="488" spans="2:27" s="26" customFormat="1" ht="28.5" customHeight="1">
      <c r="B488" s="33"/>
      <c r="C488" s="27"/>
      <c r="D488" s="27"/>
      <c r="P488" s="1"/>
      <c r="Q488" s="46"/>
      <c r="Z488" s="518"/>
      <c r="AA488" s="1"/>
    </row>
    <row r="489" spans="2:27" s="26" customFormat="1" ht="28.5" customHeight="1">
      <c r="B489" s="33"/>
      <c r="C489" s="27"/>
      <c r="D489" s="27"/>
      <c r="P489" s="1"/>
      <c r="Q489" s="46"/>
      <c r="Z489" s="518"/>
      <c r="AA489" s="1"/>
    </row>
    <row r="490" spans="2:27" s="26" customFormat="1" ht="28.5" customHeight="1">
      <c r="B490" s="33"/>
      <c r="C490" s="27"/>
      <c r="D490" s="27"/>
      <c r="P490" s="1"/>
      <c r="Q490" s="46"/>
      <c r="Z490" s="518"/>
      <c r="AA490" s="1"/>
    </row>
    <row r="491" spans="2:27" s="26" customFormat="1" ht="28.5" customHeight="1">
      <c r="B491" s="33"/>
      <c r="C491" s="27"/>
      <c r="D491" s="27"/>
      <c r="P491" s="1"/>
      <c r="Q491" s="46"/>
      <c r="Z491" s="518"/>
      <c r="AA491" s="1"/>
    </row>
    <row r="492" spans="2:27" s="26" customFormat="1" ht="28.5" customHeight="1">
      <c r="B492" s="33"/>
      <c r="C492" s="27"/>
      <c r="D492" s="27"/>
      <c r="P492" s="1"/>
      <c r="Q492" s="46"/>
      <c r="Z492" s="518"/>
      <c r="AA492" s="1"/>
    </row>
    <row r="493" spans="2:27" s="26" customFormat="1" ht="28.5" customHeight="1">
      <c r="B493" s="33"/>
      <c r="C493" s="27"/>
      <c r="D493" s="27"/>
      <c r="P493" s="1"/>
      <c r="Q493" s="46"/>
      <c r="Z493" s="518"/>
      <c r="AA493" s="1"/>
    </row>
    <row r="494" spans="2:27" s="26" customFormat="1" ht="28.5" customHeight="1">
      <c r="B494" s="33"/>
      <c r="C494" s="27"/>
      <c r="D494" s="27"/>
      <c r="P494" s="1"/>
      <c r="Q494" s="46"/>
      <c r="Z494" s="518"/>
      <c r="AA494" s="1"/>
    </row>
    <row r="495" spans="2:27" s="26" customFormat="1" ht="28.5" customHeight="1">
      <c r="B495" s="33"/>
      <c r="C495" s="27"/>
      <c r="D495" s="27"/>
      <c r="P495" s="1"/>
      <c r="Q495" s="46"/>
      <c r="Z495" s="518"/>
      <c r="AA495" s="1"/>
    </row>
    <row r="496" spans="2:27" s="26" customFormat="1" ht="28.5" customHeight="1">
      <c r="B496" s="33"/>
      <c r="C496" s="27"/>
      <c r="D496" s="27"/>
      <c r="P496" s="1"/>
      <c r="Q496" s="46"/>
      <c r="Z496" s="518"/>
      <c r="AA496" s="1"/>
    </row>
    <row r="497" spans="2:27" s="26" customFormat="1" ht="28.5" customHeight="1">
      <c r="B497" s="33"/>
      <c r="C497" s="27"/>
      <c r="D497" s="27"/>
      <c r="P497" s="1"/>
      <c r="Q497" s="46"/>
      <c r="Z497" s="518"/>
      <c r="AA497" s="1"/>
    </row>
    <row r="498" spans="2:27" s="26" customFormat="1" ht="28.5" customHeight="1">
      <c r="B498" s="33"/>
      <c r="C498" s="27"/>
      <c r="D498" s="27"/>
      <c r="P498" s="1"/>
      <c r="Q498" s="46"/>
      <c r="Z498" s="518"/>
      <c r="AA498" s="1"/>
    </row>
    <row r="499" spans="2:27" s="26" customFormat="1" ht="28.5" customHeight="1">
      <c r="B499" s="33"/>
      <c r="C499" s="27"/>
      <c r="D499" s="27"/>
      <c r="P499" s="1"/>
      <c r="Q499" s="46"/>
      <c r="Z499" s="518"/>
      <c r="AA499" s="1"/>
    </row>
    <row r="500" spans="2:27" s="26" customFormat="1" ht="28.5" customHeight="1">
      <c r="B500" s="33"/>
      <c r="C500" s="27"/>
      <c r="D500" s="27"/>
      <c r="P500" s="1"/>
      <c r="Q500" s="46"/>
      <c r="Z500" s="518"/>
      <c r="AA500" s="1"/>
    </row>
    <row r="501" spans="2:27" s="26" customFormat="1" ht="28.5" customHeight="1">
      <c r="B501" s="33"/>
      <c r="C501" s="27"/>
      <c r="D501" s="27"/>
      <c r="P501" s="1"/>
      <c r="Q501" s="46"/>
      <c r="Z501" s="518"/>
      <c r="AA501" s="1"/>
    </row>
    <row r="502" spans="2:27" s="26" customFormat="1" ht="28.5" customHeight="1">
      <c r="B502" s="33"/>
      <c r="C502" s="27"/>
      <c r="D502" s="27"/>
      <c r="P502" s="1"/>
      <c r="Q502" s="46"/>
      <c r="Z502" s="518"/>
      <c r="AA502" s="1"/>
    </row>
    <row r="503" spans="2:27" s="26" customFormat="1" ht="28.5" customHeight="1">
      <c r="B503" s="33"/>
      <c r="C503" s="27"/>
      <c r="D503" s="27"/>
      <c r="P503" s="1"/>
      <c r="Q503" s="46"/>
      <c r="Z503" s="518"/>
      <c r="AA503" s="1"/>
    </row>
    <row r="504" spans="2:27" s="26" customFormat="1" ht="28.5" customHeight="1">
      <c r="B504" s="33"/>
      <c r="C504" s="27"/>
      <c r="D504" s="27"/>
      <c r="P504" s="1"/>
      <c r="Q504" s="46"/>
      <c r="Z504" s="518"/>
      <c r="AA504" s="1"/>
    </row>
    <row r="505" spans="2:27" s="26" customFormat="1" ht="28.5" customHeight="1">
      <c r="B505" s="33"/>
      <c r="C505" s="27"/>
      <c r="D505" s="27"/>
      <c r="P505" s="1"/>
      <c r="Q505" s="46"/>
      <c r="Z505" s="518"/>
      <c r="AA505" s="1"/>
    </row>
    <row r="506" spans="2:27" s="26" customFormat="1" ht="28.5" customHeight="1">
      <c r="B506" s="33"/>
      <c r="C506" s="27"/>
      <c r="D506" s="27"/>
      <c r="P506" s="1"/>
      <c r="Q506" s="46"/>
      <c r="Z506" s="518"/>
      <c r="AA506" s="1"/>
    </row>
    <row r="507" spans="2:27" s="26" customFormat="1" ht="28.5" customHeight="1">
      <c r="B507" s="33"/>
      <c r="C507" s="27"/>
      <c r="D507" s="27"/>
      <c r="P507" s="1"/>
      <c r="Q507" s="46"/>
      <c r="Z507" s="518"/>
      <c r="AA507" s="1"/>
    </row>
    <row r="508" spans="2:27" s="26" customFormat="1" ht="28.5" customHeight="1">
      <c r="B508" s="33"/>
      <c r="C508" s="27"/>
      <c r="D508" s="27"/>
      <c r="P508" s="1"/>
      <c r="Q508" s="46"/>
      <c r="Z508" s="518"/>
      <c r="AA508" s="1"/>
    </row>
    <row r="509" spans="2:27" s="26" customFormat="1" ht="28.5" customHeight="1">
      <c r="B509" s="33"/>
      <c r="C509" s="27"/>
      <c r="D509" s="27"/>
      <c r="P509" s="1"/>
      <c r="Q509" s="46"/>
      <c r="Z509" s="518"/>
      <c r="AA509" s="1"/>
    </row>
    <row r="510" spans="2:27" s="26" customFormat="1" ht="28.5" customHeight="1">
      <c r="B510" s="33"/>
      <c r="C510" s="27"/>
      <c r="D510" s="27"/>
      <c r="P510" s="1"/>
      <c r="Q510" s="46"/>
      <c r="Z510" s="518"/>
      <c r="AA510" s="1"/>
    </row>
    <row r="511" spans="2:27" s="26" customFormat="1" ht="28.5" customHeight="1">
      <c r="B511" s="33"/>
      <c r="C511" s="27"/>
      <c r="D511" s="27"/>
      <c r="P511" s="1"/>
      <c r="Q511" s="46"/>
      <c r="Z511" s="518"/>
      <c r="AA511" s="1"/>
    </row>
    <row r="512" spans="2:27" s="26" customFormat="1" ht="28.5" customHeight="1">
      <c r="B512" s="33"/>
      <c r="C512" s="27"/>
      <c r="D512" s="27"/>
      <c r="P512" s="1"/>
      <c r="Q512" s="46"/>
      <c r="Z512" s="518"/>
      <c r="AA512" s="1"/>
    </row>
    <row r="513" spans="2:27" s="26" customFormat="1" ht="28.5" customHeight="1">
      <c r="B513" s="33"/>
      <c r="C513" s="27"/>
      <c r="D513" s="27"/>
      <c r="P513" s="1"/>
      <c r="Q513" s="46"/>
      <c r="Z513" s="518"/>
      <c r="AA513" s="1"/>
    </row>
    <row r="514" spans="2:27" s="26" customFormat="1" ht="28.5" customHeight="1">
      <c r="B514" s="33"/>
      <c r="C514" s="27"/>
      <c r="D514" s="27"/>
      <c r="P514" s="1"/>
      <c r="Q514" s="46"/>
      <c r="Z514" s="518"/>
      <c r="AA514" s="1"/>
    </row>
    <row r="515" spans="2:27" s="26" customFormat="1" ht="28.5" customHeight="1">
      <c r="B515" s="33"/>
      <c r="C515" s="27"/>
      <c r="D515" s="27"/>
      <c r="P515" s="1"/>
      <c r="Q515" s="46"/>
      <c r="Z515" s="518"/>
      <c r="AA515" s="1"/>
    </row>
    <row r="516" spans="2:27" s="26" customFormat="1" ht="28.5" customHeight="1">
      <c r="B516" s="33"/>
      <c r="C516" s="27"/>
      <c r="D516" s="27"/>
      <c r="P516" s="1"/>
      <c r="Q516" s="46"/>
      <c r="Z516" s="518"/>
      <c r="AA516" s="1"/>
    </row>
    <row r="517" spans="2:27" s="26" customFormat="1" ht="28.5" customHeight="1">
      <c r="B517" s="33"/>
      <c r="C517" s="27"/>
      <c r="D517" s="27"/>
      <c r="P517" s="1"/>
      <c r="Q517" s="46"/>
      <c r="Z517" s="518"/>
      <c r="AA517" s="1"/>
    </row>
    <row r="518" spans="2:27" s="26" customFormat="1" ht="28.5" customHeight="1">
      <c r="B518" s="33"/>
      <c r="C518" s="27"/>
      <c r="D518" s="27"/>
      <c r="P518" s="1"/>
      <c r="Q518" s="46"/>
      <c r="Z518" s="518"/>
      <c r="AA518" s="1"/>
    </row>
    <row r="519" spans="2:27" s="26" customFormat="1" ht="28.5" customHeight="1">
      <c r="B519" s="33"/>
      <c r="C519" s="27"/>
      <c r="D519" s="27"/>
      <c r="P519" s="1"/>
      <c r="Q519" s="46"/>
      <c r="Z519" s="518"/>
      <c r="AA519" s="1"/>
    </row>
    <row r="520" spans="2:27" s="26" customFormat="1" ht="28.5" customHeight="1">
      <c r="B520" s="33"/>
      <c r="C520" s="27"/>
      <c r="D520" s="27"/>
      <c r="P520" s="1"/>
      <c r="Q520" s="46"/>
      <c r="Z520" s="518"/>
      <c r="AA520" s="1"/>
    </row>
    <row r="521" spans="2:27" s="26" customFormat="1" ht="28.5" customHeight="1">
      <c r="B521" s="33"/>
      <c r="C521" s="27"/>
      <c r="D521" s="27"/>
      <c r="P521" s="1"/>
      <c r="Q521" s="46"/>
      <c r="Z521" s="518"/>
      <c r="AA521" s="1"/>
    </row>
    <row r="522" spans="2:27" s="26" customFormat="1" ht="28.5" customHeight="1">
      <c r="B522" s="33"/>
      <c r="C522" s="27"/>
      <c r="D522" s="27"/>
      <c r="P522" s="1"/>
      <c r="Q522" s="46"/>
      <c r="Z522" s="518"/>
      <c r="AA522" s="1"/>
    </row>
    <row r="523" spans="2:27" s="26" customFormat="1" ht="28.5" customHeight="1">
      <c r="B523" s="33"/>
      <c r="C523" s="27"/>
      <c r="D523" s="27"/>
      <c r="P523" s="1"/>
      <c r="Q523" s="46"/>
      <c r="Z523" s="518"/>
      <c r="AA523" s="1"/>
    </row>
    <row r="524" spans="2:27" s="26" customFormat="1" ht="28.5" customHeight="1">
      <c r="B524" s="33"/>
      <c r="C524" s="27"/>
      <c r="D524" s="27"/>
      <c r="P524" s="1"/>
      <c r="Q524" s="46"/>
      <c r="Z524" s="518"/>
      <c r="AA524" s="1"/>
    </row>
    <row r="525" spans="2:27" s="26" customFormat="1" ht="28.5" customHeight="1">
      <c r="B525" s="33"/>
      <c r="C525" s="27"/>
      <c r="D525" s="27"/>
      <c r="P525" s="1"/>
      <c r="Q525" s="46"/>
      <c r="Z525" s="518"/>
      <c r="AA525" s="1"/>
    </row>
    <row r="526" spans="2:27" s="26" customFormat="1" ht="28.5" customHeight="1">
      <c r="B526" s="33"/>
      <c r="C526" s="27"/>
      <c r="D526" s="27"/>
      <c r="P526" s="1"/>
      <c r="Q526" s="46"/>
      <c r="Z526" s="518"/>
      <c r="AA526" s="1"/>
    </row>
    <row r="527" spans="2:27" s="26" customFormat="1" ht="28.5" customHeight="1">
      <c r="B527" s="33"/>
      <c r="C527" s="27"/>
      <c r="D527" s="27"/>
      <c r="P527" s="1"/>
      <c r="Q527" s="46"/>
      <c r="Z527" s="518"/>
      <c r="AA527" s="1"/>
    </row>
    <row r="528" spans="2:27" s="26" customFormat="1" ht="28.5" customHeight="1">
      <c r="B528" s="33"/>
      <c r="C528" s="27"/>
      <c r="D528" s="27"/>
      <c r="P528" s="1"/>
      <c r="Q528" s="46"/>
      <c r="Z528" s="518"/>
      <c r="AA528" s="1"/>
    </row>
    <row r="529" spans="2:27" s="26" customFormat="1" ht="28.5" customHeight="1">
      <c r="B529" s="33"/>
      <c r="C529" s="27"/>
      <c r="D529" s="27"/>
      <c r="P529" s="1"/>
      <c r="Q529" s="46"/>
      <c r="Z529" s="518"/>
      <c r="AA529" s="1"/>
    </row>
    <row r="530" spans="2:27" s="26" customFormat="1" ht="28.5" customHeight="1">
      <c r="B530" s="33"/>
      <c r="C530" s="27"/>
      <c r="D530" s="27"/>
      <c r="P530" s="1"/>
      <c r="Q530" s="46"/>
      <c r="Z530" s="518"/>
      <c r="AA530" s="1"/>
    </row>
    <row r="531" spans="2:27" s="26" customFormat="1" ht="28.5" customHeight="1">
      <c r="B531" s="33"/>
      <c r="C531" s="27"/>
      <c r="D531" s="27"/>
      <c r="P531" s="1"/>
      <c r="Q531" s="46"/>
      <c r="Z531" s="518"/>
      <c r="AA531" s="1"/>
    </row>
    <row r="532" spans="2:27" s="26" customFormat="1" ht="28.5" customHeight="1">
      <c r="B532" s="33"/>
      <c r="C532" s="27"/>
      <c r="D532" s="27"/>
      <c r="P532" s="1"/>
      <c r="Q532" s="46"/>
      <c r="Z532" s="518"/>
      <c r="AA532" s="1"/>
    </row>
    <row r="533" spans="2:27" s="26" customFormat="1" ht="28.5" customHeight="1">
      <c r="B533" s="33"/>
      <c r="C533" s="27"/>
      <c r="D533" s="27"/>
      <c r="P533" s="1"/>
      <c r="Q533" s="46"/>
      <c r="Z533" s="518"/>
      <c r="AA533" s="1"/>
    </row>
    <row r="534" spans="2:27" s="26" customFormat="1" ht="28.5" customHeight="1">
      <c r="B534" s="33"/>
      <c r="C534" s="27"/>
      <c r="D534" s="27"/>
      <c r="P534" s="1"/>
      <c r="Q534" s="46"/>
      <c r="Z534" s="518"/>
      <c r="AA534" s="1"/>
    </row>
    <row r="535" spans="2:27" s="26" customFormat="1" ht="28.5" customHeight="1">
      <c r="B535" s="33"/>
      <c r="C535" s="27"/>
      <c r="D535" s="27"/>
      <c r="P535" s="1"/>
      <c r="Q535" s="46"/>
      <c r="Z535" s="518"/>
      <c r="AA535" s="1"/>
    </row>
    <row r="536" spans="2:27" s="26" customFormat="1" ht="28.5" customHeight="1">
      <c r="B536" s="33"/>
      <c r="C536" s="27"/>
      <c r="D536" s="27"/>
      <c r="P536" s="1"/>
      <c r="Q536" s="46"/>
      <c r="Z536" s="518"/>
      <c r="AA536" s="1"/>
    </row>
    <row r="537" spans="2:27" s="26" customFormat="1" ht="28.5" customHeight="1">
      <c r="B537" s="33"/>
      <c r="C537" s="27"/>
      <c r="D537" s="27"/>
      <c r="P537" s="1"/>
      <c r="Q537" s="46"/>
      <c r="Z537" s="518"/>
      <c r="AA537" s="1"/>
    </row>
    <row r="538" spans="2:27" s="26" customFormat="1" ht="28.5" customHeight="1">
      <c r="B538" s="33"/>
      <c r="C538" s="27"/>
      <c r="D538" s="27"/>
      <c r="P538" s="1"/>
      <c r="Q538" s="46"/>
      <c r="Z538" s="518"/>
      <c r="AA538" s="1"/>
    </row>
    <row r="539" spans="2:27" s="26" customFormat="1" ht="28.5" customHeight="1">
      <c r="B539" s="33"/>
      <c r="C539" s="27"/>
      <c r="D539" s="27"/>
      <c r="P539" s="1"/>
      <c r="Q539" s="46"/>
      <c r="Z539" s="518"/>
      <c r="AA539" s="1"/>
    </row>
    <row r="540" spans="2:27" s="26" customFormat="1" ht="28.5" customHeight="1">
      <c r="B540" s="33"/>
      <c r="C540" s="27"/>
      <c r="D540" s="27"/>
      <c r="P540" s="1"/>
      <c r="Q540" s="46"/>
      <c r="Z540" s="518"/>
      <c r="AA540" s="1"/>
    </row>
    <row r="541" spans="2:27" s="26" customFormat="1" ht="28.5" customHeight="1">
      <c r="B541" s="33"/>
      <c r="C541" s="27"/>
      <c r="D541" s="27"/>
      <c r="P541" s="1"/>
      <c r="Q541" s="46"/>
      <c r="Z541" s="518"/>
      <c r="AA541" s="1"/>
    </row>
    <row r="542" spans="2:27" s="26" customFormat="1" ht="28.5" customHeight="1">
      <c r="B542" s="33"/>
      <c r="C542" s="27"/>
      <c r="D542" s="27"/>
      <c r="P542" s="1"/>
      <c r="Q542" s="46"/>
      <c r="Z542" s="518"/>
      <c r="AA542" s="1"/>
    </row>
    <row r="543" spans="2:27" s="26" customFormat="1" ht="28.5" customHeight="1">
      <c r="B543" s="33"/>
      <c r="C543" s="27"/>
      <c r="D543" s="27"/>
      <c r="P543" s="1"/>
      <c r="Q543" s="46"/>
      <c r="Z543" s="518"/>
      <c r="AA543" s="1"/>
    </row>
    <row r="544" spans="2:27" s="26" customFormat="1" ht="28.5" customHeight="1">
      <c r="B544" s="33"/>
      <c r="C544" s="27"/>
      <c r="D544" s="27"/>
      <c r="P544" s="1"/>
      <c r="Q544" s="46"/>
      <c r="Z544" s="518"/>
      <c r="AA544" s="1"/>
    </row>
    <row r="545" spans="2:27" s="26" customFormat="1" ht="28.5" customHeight="1">
      <c r="B545" s="33"/>
      <c r="C545" s="27"/>
      <c r="D545" s="27"/>
      <c r="P545" s="1"/>
      <c r="Q545" s="46"/>
      <c r="Z545" s="518"/>
      <c r="AA545" s="1"/>
    </row>
    <row r="546" spans="2:27" s="26" customFormat="1" ht="28.5" customHeight="1">
      <c r="B546" s="33"/>
      <c r="C546" s="27"/>
      <c r="D546" s="27"/>
      <c r="P546" s="1"/>
      <c r="Q546" s="46"/>
      <c r="Z546" s="518"/>
      <c r="AA546" s="1"/>
    </row>
    <row r="547" spans="2:27" s="26" customFormat="1" ht="28.5" customHeight="1">
      <c r="B547" s="33"/>
      <c r="C547" s="27"/>
      <c r="D547" s="27"/>
      <c r="P547" s="1"/>
      <c r="Q547" s="46"/>
      <c r="Z547" s="518"/>
      <c r="AA547" s="1"/>
    </row>
    <row r="548" spans="2:27" s="26" customFormat="1" ht="28.5" customHeight="1">
      <c r="B548" s="33"/>
      <c r="C548" s="27"/>
      <c r="D548" s="27"/>
      <c r="P548" s="1"/>
      <c r="Q548" s="46"/>
      <c r="Z548" s="518"/>
      <c r="AA548" s="1"/>
    </row>
    <row r="549" spans="2:27" s="26" customFormat="1" ht="28.5" customHeight="1">
      <c r="B549" s="33"/>
      <c r="C549" s="27"/>
      <c r="D549" s="27"/>
      <c r="P549" s="1"/>
      <c r="Q549" s="46"/>
      <c r="Z549" s="518"/>
      <c r="AA549" s="1"/>
    </row>
    <row r="550" spans="2:27" s="26" customFormat="1" ht="28.5" customHeight="1">
      <c r="B550" s="33"/>
      <c r="C550" s="27"/>
      <c r="D550" s="27"/>
      <c r="P550" s="1"/>
      <c r="Q550" s="46"/>
      <c r="Z550" s="518"/>
      <c r="AA550" s="1"/>
    </row>
    <row r="551" spans="2:27" s="26" customFormat="1" ht="28.5" customHeight="1">
      <c r="B551" s="33"/>
      <c r="C551" s="27"/>
      <c r="D551" s="27"/>
      <c r="P551" s="1"/>
      <c r="Q551" s="46"/>
      <c r="Z551" s="518"/>
      <c r="AA551" s="1"/>
    </row>
    <row r="552" spans="2:27" s="26" customFormat="1" ht="28.5" customHeight="1">
      <c r="B552" s="33"/>
      <c r="C552" s="27"/>
      <c r="D552" s="27"/>
      <c r="P552" s="1"/>
      <c r="Q552" s="46"/>
      <c r="Z552" s="518"/>
      <c r="AA552" s="1"/>
    </row>
    <row r="553" spans="2:27" s="26" customFormat="1" ht="28.5" customHeight="1">
      <c r="B553" s="33"/>
      <c r="C553" s="27"/>
      <c r="D553" s="27"/>
      <c r="P553" s="1"/>
      <c r="Q553" s="46"/>
      <c r="Z553" s="518"/>
      <c r="AA553" s="1"/>
    </row>
    <row r="554" spans="2:27" s="26" customFormat="1" ht="28.5" customHeight="1">
      <c r="B554" s="33"/>
      <c r="C554" s="27"/>
      <c r="D554" s="27"/>
      <c r="P554" s="1"/>
      <c r="Q554" s="46"/>
      <c r="Z554" s="518"/>
      <c r="AA554" s="1"/>
    </row>
    <row r="555" spans="2:27" s="26" customFormat="1" ht="28.5" customHeight="1">
      <c r="B555" s="33"/>
      <c r="C555" s="27"/>
      <c r="D555" s="27"/>
      <c r="P555" s="1"/>
      <c r="Q555" s="46"/>
      <c r="Z555" s="518"/>
      <c r="AA555" s="1"/>
    </row>
    <row r="556" spans="2:27" s="26" customFormat="1" ht="28.5" customHeight="1">
      <c r="B556" s="33"/>
      <c r="C556" s="27"/>
      <c r="D556" s="27"/>
      <c r="P556" s="1"/>
      <c r="Q556" s="46"/>
      <c r="Z556" s="518"/>
      <c r="AA556" s="1"/>
    </row>
    <row r="557" spans="2:27" s="26" customFormat="1" ht="28.5" customHeight="1">
      <c r="B557" s="33"/>
      <c r="C557" s="27"/>
      <c r="D557" s="27"/>
      <c r="P557" s="1"/>
      <c r="Q557" s="46"/>
      <c r="Z557" s="518"/>
      <c r="AA557" s="1"/>
    </row>
    <row r="558" spans="2:27" s="26" customFormat="1" ht="28.5" customHeight="1">
      <c r="B558" s="33"/>
      <c r="C558" s="27"/>
      <c r="D558" s="27"/>
      <c r="P558" s="1"/>
      <c r="Q558" s="46"/>
      <c r="Z558" s="518"/>
      <c r="AA558" s="1"/>
    </row>
    <row r="559" spans="2:27" s="26" customFormat="1" ht="28.5" customHeight="1">
      <c r="B559" s="33"/>
      <c r="C559" s="27"/>
      <c r="D559" s="27"/>
      <c r="P559" s="1"/>
      <c r="Q559" s="46"/>
      <c r="Z559" s="518"/>
      <c r="AA559" s="1"/>
    </row>
    <row r="560" spans="2:27" s="26" customFormat="1" ht="28.5" customHeight="1">
      <c r="B560" s="33"/>
      <c r="C560" s="27"/>
      <c r="D560" s="27"/>
      <c r="P560" s="1"/>
      <c r="Q560" s="46"/>
      <c r="Z560" s="518"/>
      <c r="AA560" s="1"/>
    </row>
    <row r="561" spans="2:27" s="26" customFormat="1" ht="28.5" customHeight="1">
      <c r="B561" s="33"/>
      <c r="C561" s="27"/>
      <c r="D561" s="27"/>
      <c r="P561" s="1"/>
      <c r="Q561" s="46"/>
      <c r="Z561" s="518"/>
      <c r="AA561" s="1"/>
    </row>
    <row r="562" spans="2:27" s="26" customFormat="1" ht="28.5" customHeight="1">
      <c r="B562" s="33"/>
      <c r="C562" s="27"/>
      <c r="D562" s="27"/>
      <c r="P562" s="1"/>
      <c r="Q562" s="46"/>
      <c r="Z562" s="518"/>
      <c r="AA562" s="1"/>
    </row>
    <row r="563" spans="2:27" s="26" customFormat="1" ht="28.5" customHeight="1">
      <c r="B563" s="33"/>
      <c r="C563" s="27"/>
      <c r="D563" s="27"/>
      <c r="P563" s="1"/>
      <c r="Q563" s="46"/>
      <c r="Z563" s="518"/>
      <c r="AA563" s="1"/>
    </row>
    <row r="564" spans="2:27" s="26" customFormat="1" ht="28.5" customHeight="1">
      <c r="B564" s="33"/>
      <c r="C564" s="27"/>
      <c r="D564" s="27"/>
      <c r="P564" s="1"/>
      <c r="Q564" s="46"/>
      <c r="Z564" s="518"/>
      <c r="AA564" s="1"/>
    </row>
    <row r="565" spans="2:27" s="26" customFormat="1" ht="28.5" customHeight="1">
      <c r="B565" s="33"/>
      <c r="C565" s="27"/>
      <c r="D565" s="27"/>
      <c r="P565" s="1"/>
      <c r="Q565" s="46"/>
      <c r="Z565" s="518"/>
      <c r="AA565" s="1"/>
    </row>
    <row r="566" spans="2:27" s="26" customFormat="1" ht="28.5" customHeight="1">
      <c r="B566" s="33"/>
      <c r="C566" s="27"/>
      <c r="D566" s="27"/>
      <c r="P566" s="1"/>
      <c r="Q566" s="46"/>
      <c r="Z566" s="518"/>
      <c r="AA566" s="1"/>
    </row>
    <row r="567" spans="2:27" s="26" customFormat="1" ht="28.5" customHeight="1">
      <c r="B567" s="33"/>
      <c r="C567" s="27"/>
      <c r="D567" s="27"/>
      <c r="P567" s="1"/>
      <c r="Q567" s="46"/>
      <c r="Z567" s="518"/>
      <c r="AA567" s="1"/>
    </row>
    <row r="568" spans="2:27" s="26" customFormat="1" ht="28.5" customHeight="1">
      <c r="B568" s="33"/>
      <c r="C568" s="27"/>
      <c r="D568" s="27"/>
      <c r="P568" s="1"/>
      <c r="Q568" s="46"/>
      <c r="Z568" s="518"/>
      <c r="AA568" s="1"/>
    </row>
    <row r="569" spans="2:27" s="26" customFormat="1" ht="28.5" customHeight="1">
      <c r="B569" s="33"/>
      <c r="C569" s="27"/>
      <c r="D569" s="27"/>
      <c r="P569" s="1"/>
      <c r="Q569" s="46"/>
      <c r="Z569" s="518"/>
      <c r="AA569" s="1"/>
    </row>
    <row r="570" spans="2:27" s="26" customFormat="1" ht="28.5" customHeight="1">
      <c r="B570" s="33"/>
      <c r="C570" s="27"/>
      <c r="D570" s="27"/>
      <c r="P570" s="1"/>
      <c r="Q570" s="46"/>
      <c r="Z570" s="518"/>
      <c r="AA570" s="1"/>
    </row>
    <row r="571" spans="2:27" s="26" customFormat="1" ht="28.5" customHeight="1">
      <c r="B571" s="33"/>
      <c r="C571" s="27"/>
      <c r="D571" s="27"/>
      <c r="P571" s="1"/>
      <c r="Q571" s="46"/>
      <c r="Z571" s="518"/>
      <c r="AA571" s="1"/>
    </row>
    <row r="572" spans="2:27" s="26" customFormat="1" ht="28.5" customHeight="1">
      <c r="B572" s="33"/>
      <c r="C572" s="27"/>
      <c r="D572" s="27"/>
      <c r="P572" s="1"/>
      <c r="Q572" s="46"/>
      <c r="Z572" s="518"/>
      <c r="AA572" s="1"/>
    </row>
    <row r="573" spans="2:27" s="26" customFormat="1" ht="28.5" customHeight="1">
      <c r="B573" s="33"/>
      <c r="C573" s="27"/>
      <c r="D573" s="27"/>
      <c r="P573" s="1"/>
      <c r="Q573" s="46"/>
      <c r="Z573" s="518"/>
      <c r="AA573" s="1"/>
    </row>
    <row r="574" spans="2:27" s="26" customFormat="1" ht="28.5" customHeight="1">
      <c r="B574" s="33"/>
      <c r="C574" s="27"/>
      <c r="D574" s="27"/>
      <c r="P574" s="1"/>
      <c r="Q574" s="46"/>
      <c r="Z574" s="518"/>
      <c r="AA574" s="1"/>
    </row>
    <row r="575" spans="2:27" s="26" customFormat="1" ht="28.5" customHeight="1">
      <c r="B575" s="33"/>
      <c r="C575" s="27"/>
      <c r="D575" s="27"/>
      <c r="P575" s="1"/>
      <c r="Q575" s="46"/>
      <c r="Z575" s="518"/>
      <c r="AA575" s="1"/>
    </row>
    <row r="576" spans="2:27" s="26" customFormat="1" ht="28.5" customHeight="1">
      <c r="B576" s="33"/>
      <c r="C576" s="27"/>
      <c r="D576" s="27"/>
      <c r="P576" s="1"/>
      <c r="Q576" s="46"/>
      <c r="Z576" s="518"/>
      <c r="AA576" s="1"/>
    </row>
    <row r="577" spans="2:27" s="26" customFormat="1" ht="28.5" customHeight="1">
      <c r="B577" s="33"/>
      <c r="C577" s="27"/>
      <c r="D577" s="27"/>
      <c r="P577" s="1"/>
      <c r="Q577" s="46"/>
      <c r="Z577" s="518"/>
      <c r="AA577" s="1"/>
    </row>
    <row r="578" spans="2:27" s="26" customFormat="1" ht="28.5" customHeight="1">
      <c r="B578" s="33"/>
      <c r="C578" s="27"/>
      <c r="D578" s="27"/>
      <c r="P578" s="1"/>
      <c r="Q578" s="46"/>
      <c r="Z578" s="518"/>
      <c r="AA578" s="1"/>
    </row>
    <row r="579" spans="2:27" s="26" customFormat="1" ht="28.5" customHeight="1">
      <c r="B579" s="33"/>
      <c r="C579" s="27"/>
      <c r="D579" s="27"/>
      <c r="P579" s="1"/>
      <c r="Q579" s="46"/>
      <c r="Z579" s="518"/>
      <c r="AA579" s="1"/>
    </row>
    <row r="580" spans="2:27" s="26" customFormat="1" ht="28.5" customHeight="1">
      <c r="B580" s="33"/>
      <c r="C580" s="27"/>
      <c r="D580" s="27"/>
      <c r="P580" s="1"/>
      <c r="Q580" s="46"/>
      <c r="Z580" s="518"/>
      <c r="AA580" s="1"/>
    </row>
    <row r="581" spans="2:27" s="26" customFormat="1" ht="28.5" customHeight="1">
      <c r="B581" s="33"/>
      <c r="C581" s="27"/>
      <c r="D581" s="27"/>
      <c r="P581" s="1"/>
      <c r="Q581" s="46"/>
      <c r="Z581" s="518"/>
      <c r="AA581" s="1"/>
    </row>
    <row r="582" spans="2:27" s="26" customFormat="1" ht="28.5" customHeight="1">
      <c r="B582" s="33"/>
      <c r="C582" s="27"/>
      <c r="D582" s="27"/>
      <c r="P582" s="1"/>
      <c r="Q582" s="46"/>
      <c r="Z582" s="518"/>
      <c r="AA582" s="1"/>
    </row>
    <row r="583" spans="2:27" s="26" customFormat="1" ht="28.5" customHeight="1">
      <c r="B583" s="33"/>
      <c r="C583" s="27"/>
      <c r="D583" s="27"/>
      <c r="P583" s="1"/>
      <c r="Q583" s="46"/>
      <c r="Z583" s="518"/>
      <c r="AA583" s="1"/>
    </row>
    <row r="584" spans="2:27" s="26" customFormat="1" ht="28.5" customHeight="1">
      <c r="B584" s="33"/>
      <c r="C584" s="27"/>
      <c r="D584" s="27"/>
      <c r="P584" s="1"/>
      <c r="Q584" s="46"/>
      <c r="Z584" s="518"/>
      <c r="AA584" s="1"/>
    </row>
    <row r="585" spans="2:27" s="26" customFormat="1" ht="28.5" customHeight="1">
      <c r="B585" s="33"/>
      <c r="C585" s="27"/>
      <c r="D585" s="27"/>
      <c r="P585" s="1"/>
      <c r="Q585" s="46"/>
      <c r="Z585" s="518"/>
      <c r="AA585" s="1"/>
    </row>
    <row r="586" spans="2:27" s="26" customFormat="1" ht="28.5" customHeight="1">
      <c r="B586" s="33"/>
      <c r="C586" s="27"/>
      <c r="D586" s="27"/>
      <c r="P586" s="1"/>
      <c r="Q586" s="46"/>
      <c r="Z586" s="518"/>
      <c r="AA586" s="1"/>
    </row>
    <row r="587" spans="2:27" s="26" customFormat="1" ht="28.5" customHeight="1">
      <c r="B587" s="33"/>
      <c r="C587" s="27"/>
      <c r="D587" s="27"/>
      <c r="P587" s="1"/>
      <c r="Q587" s="46"/>
      <c r="Z587" s="518"/>
      <c r="AA587" s="1"/>
    </row>
    <row r="588" spans="2:27" s="26" customFormat="1" ht="28.5" customHeight="1">
      <c r="B588" s="33"/>
      <c r="C588" s="27"/>
      <c r="D588" s="27"/>
      <c r="P588" s="1"/>
      <c r="Q588" s="46"/>
      <c r="Z588" s="518"/>
      <c r="AA588" s="1"/>
    </row>
    <row r="589" spans="2:27" s="26" customFormat="1" ht="28.5" customHeight="1">
      <c r="B589" s="33"/>
      <c r="C589" s="27"/>
      <c r="D589" s="27"/>
      <c r="P589" s="1"/>
      <c r="Q589" s="46"/>
      <c r="Z589" s="518"/>
      <c r="AA589" s="1"/>
    </row>
    <row r="590" spans="2:27" s="26" customFormat="1" ht="28.5" customHeight="1">
      <c r="B590" s="33"/>
      <c r="C590" s="27"/>
      <c r="D590" s="27"/>
      <c r="P590" s="1"/>
      <c r="Q590" s="46"/>
      <c r="Z590" s="518"/>
      <c r="AA590" s="1"/>
    </row>
    <row r="591" spans="2:27" s="26" customFormat="1" ht="28.5" customHeight="1">
      <c r="B591" s="33"/>
      <c r="C591" s="27"/>
      <c r="D591" s="27"/>
      <c r="P591" s="1"/>
      <c r="Q591" s="46"/>
      <c r="Z591" s="518"/>
      <c r="AA591" s="1"/>
    </row>
    <row r="592" spans="2:27" s="26" customFormat="1" ht="28.5" customHeight="1">
      <c r="B592" s="33"/>
      <c r="C592" s="27"/>
      <c r="D592" s="27"/>
      <c r="P592" s="1"/>
      <c r="Q592" s="46"/>
      <c r="Z592" s="518"/>
      <c r="AA592" s="1"/>
    </row>
    <row r="593" spans="2:27" s="26" customFormat="1" ht="28.5" customHeight="1">
      <c r="B593" s="33"/>
      <c r="C593" s="27"/>
      <c r="D593" s="27"/>
      <c r="P593" s="1"/>
      <c r="Q593" s="46"/>
      <c r="Z593" s="518"/>
      <c r="AA593" s="1"/>
    </row>
    <row r="594" spans="2:27" s="26" customFormat="1" ht="28.5" customHeight="1">
      <c r="B594" s="33"/>
      <c r="C594" s="27"/>
      <c r="D594" s="27"/>
      <c r="P594" s="1"/>
      <c r="Q594" s="46"/>
      <c r="Z594" s="518"/>
      <c r="AA594" s="1"/>
    </row>
    <row r="595" spans="2:27" s="26" customFormat="1" ht="28.5" customHeight="1">
      <c r="B595" s="33"/>
      <c r="C595" s="27"/>
      <c r="D595" s="27"/>
      <c r="P595" s="1"/>
      <c r="Q595" s="46"/>
      <c r="Z595" s="518"/>
      <c r="AA595" s="1"/>
    </row>
    <row r="596" spans="2:27" s="26" customFormat="1" ht="28.5" customHeight="1">
      <c r="B596" s="33"/>
      <c r="C596" s="27"/>
      <c r="D596" s="27"/>
      <c r="P596" s="1"/>
      <c r="Q596" s="46"/>
      <c r="Z596" s="518"/>
      <c r="AA596" s="1"/>
    </row>
    <row r="597" spans="2:27" s="26" customFormat="1" ht="28.5" customHeight="1">
      <c r="B597" s="33"/>
      <c r="C597" s="27"/>
      <c r="D597" s="27"/>
      <c r="P597" s="1"/>
      <c r="Q597" s="46"/>
      <c r="Z597" s="518"/>
      <c r="AA597" s="1"/>
    </row>
  </sheetData>
  <protectedRanges>
    <protectedRange sqref="R4:AA432" name="input cells 2"/>
  </protectedRanges>
  <autoFilter ref="A1:AY432" xr:uid="{0E1F08B7-0C9C-40CE-AB17-DC3831310629}">
    <filterColumn colId="17">
      <customFilters>
        <customFilter operator="notEqual" val=" "/>
      </customFilters>
    </filterColumn>
  </autoFilter>
  <dataValidations count="1">
    <dataValidation type="textLength" operator="lessThan" allowBlank="1" showInputMessage="1" showErrorMessage="1" sqref="P1:P432 AA1:AA432" xr:uid="{977BA44D-872B-43CC-A27E-917C5FC133B5}">
      <formula1>256</formula1>
    </dataValidation>
  </dataValidations>
  <pageMargins left="0.7" right="0.7" top="0.75" bottom="0.75" header="0.3" footer="0.3"/>
  <pageSetup paperSize="9" orientation="portrait" horizont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95E1B-38D2-4226-92F2-91540672C620}">
  <sheetPr filterMode="1"/>
  <dimension ref="A1:AY597"/>
  <sheetViews>
    <sheetView zoomScale="70" zoomScaleNormal="70" workbookViewId="0">
      <selection activeCell="R323" sqref="R323"/>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110.25">
      <c r="A6" s="8" t="s">
        <v>53</v>
      </c>
      <c r="B6" s="29" t="s">
        <v>54</v>
      </c>
      <c r="C6" s="8" t="s">
        <v>55</v>
      </c>
      <c r="D6" s="8" t="s">
        <v>65</v>
      </c>
      <c r="E6" s="69" t="s">
        <v>66</v>
      </c>
      <c r="F6" s="8"/>
      <c r="G6" s="8" t="s">
        <v>62</v>
      </c>
      <c r="H6" s="8" t="s">
        <v>59</v>
      </c>
      <c r="I6" s="9">
        <v>1</v>
      </c>
      <c r="J6" s="9"/>
      <c r="K6" s="9"/>
      <c r="L6" s="9"/>
      <c r="M6" s="9"/>
      <c r="N6" s="9"/>
      <c r="O6" s="9"/>
      <c r="P6" s="60"/>
      <c r="Q6" s="47"/>
      <c r="R6" s="37" t="s">
        <v>1724</v>
      </c>
      <c r="S6" s="9" t="s">
        <v>1723</v>
      </c>
      <c r="T6" s="9" t="s">
        <v>1722</v>
      </c>
      <c r="U6" s="9"/>
      <c r="V6" s="9" t="s">
        <v>1191</v>
      </c>
      <c r="W6" s="9" t="s">
        <v>1682</v>
      </c>
      <c r="X6" s="9" t="s">
        <v>9</v>
      </c>
      <c r="Y6" s="9"/>
      <c r="Z6" s="9"/>
      <c r="AA6" s="8"/>
    </row>
    <row r="7" spans="1:27" ht="409.5">
      <c r="A7" s="8" t="s">
        <v>53</v>
      </c>
      <c r="B7" s="29" t="s">
        <v>54</v>
      </c>
      <c r="C7" s="8" t="s">
        <v>55</v>
      </c>
      <c r="D7" s="8" t="s">
        <v>67</v>
      </c>
      <c r="E7" s="69" t="s">
        <v>68</v>
      </c>
      <c r="F7" s="8"/>
      <c r="G7" s="8" t="s">
        <v>62</v>
      </c>
      <c r="H7" s="8" t="s">
        <v>59</v>
      </c>
      <c r="I7" s="9">
        <v>1</v>
      </c>
      <c r="J7" s="9"/>
      <c r="K7" s="9"/>
      <c r="L7" s="9"/>
      <c r="M7" s="9"/>
      <c r="N7" s="9"/>
      <c r="O7" s="9"/>
      <c r="P7" s="60"/>
      <c r="Q7" s="47"/>
      <c r="R7" s="37" t="s">
        <v>1721</v>
      </c>
      <c r="S7" s="9" t="s">
        <v>1673</v>
      </c>
      <c r="T7" s="9" t="s">
        <v>1720</v>
      </c>
      <c r="U7" s="9"/>
      <c r="V7" s="9" t="s">
        <v>1191</v>
      </c>
      <c r="W7" s="9" t="s">
        <v>1364</v>
      </c>
      <c r="X7" s="9" t="s">
        <v>9</v>
      </c>
      <c r="Y7" s="9" t="s">
        <v>1719</v>
      </c>
      <c r="Z7" s="9" t="s">
        <v>1718</v>
      </c>
      <c r="AA7" s="8" t="s">
        <v>1717</v>
      </c>
    </row>
    <row r="8" spans="1:27" ht="220.5">
      <c r="A8" s="8" t="s">
        <v>53</v>
      </c>
      <c r="B8" s="29" t="s">
        <v>54</v>
      </c>
      <c r="C8" s="8" t="s">
        <v>55</v>
      </c>
      <c r="D8" s="8" t="s">
        <v>69</v>
      </c>
      <c r="E8" s="8" t="s">
        <v>70</v>
      </c>
      <c r="F8" s="8"/>
      <c r="G8" s="8" t="s">
        <v>71</v>
      </c>
      <c r="H8" s="8" t="s">
        <v>72</v>
      </c>
      <c r="I8" s="8" t="s">
        <v>73</v>
      </c>
      <c r="J8" s="8"/>
      <c r="K8" s="8"/>
      <c r="L8" s="8"/>
      <c r="M8" s="8"/>
      <c r="N8" s="8"/>
      <c r="O8" s="8"/>
      <c r="P8" s="60"/>
      <c r="R8" s="38" t="s">
        <v>1716</v>
      </c>
      <c r="S8" s="8" t="s">
        <v>1715</v>
      </c>
      <c r="T8" s="8" t="s">
        <v>1714</v>
      </c>
      <c r="U8" s="8"/>
      <c r="V8" s="8" t="s">
        <v>6</v>
      </c>
      <c r="W8" s="8" t="s">
        <v>1713</v>
      </c>
      <c r="X8" s="8"/>
      <c r="Y8" s="8"/>
      <c r="Z8" s="8"/>
      <c r="AA8" s="8"/>
    </row>
    <row r="9" spans="1:27" ht="283.5">
      <c r="A9" s="8" t="s">
        <v>53</v>
      </c>
      <c r="B9" s="29" t="s">
        <v>54</v>
      </c>
      <c r="C9" s="8" t="s">
        <v>55</v>
      </c>
      <c r="D9" s="8" t="s">
        <v>74</v>
      </c>
      <c r="E9" s="8" t="s">
        <v>75</v>
      </c>
      <c r="F9" s="8"/>
      <c r="G9" s="8" t="s">
        <v>71</v>
      </c>
      <c r="H9" s="8" t="s">
        <v>76</v>
      </c>
      <c r="I9" s="8" t="s">
        <v>77</v>
      </c>
      <c r="J9" s="8"/>
      <c r="K9" s="10"/>
      <c r="L9" s="8"/>
      <c r="M9" s="8"/>
      <c r="N9" s="8"/>
      <c r="O9" s="8"/>
      <c r="P9" s="60"/>
      <c r="R9" s="38" t="s">
        <v>1712</v>
      </c>
      <c r="S9" s="8" t="s">
        <v>1711</v>
      </c>
      <c r="T9" s="8" t="s">
        <v>1710</v>
      </c>
      <c r="U9" s="8"/>
      <c r="V9" s="8" t="s">
        <v>1191</v>
      </c>
      <c r="W9" s="8" t="s">
        <v>1709</v>
      </c>
      <c r="X9" s="8"/>
      <c r="Y9" s="8"/>
      <c r="Z9" s="8"/>
      <c r="AA9" s="8" t="s">
        <v>1708</v>
      </c>
    </row>
    <row r="10" spans="1:27" ht="141.75">
      <c r="A10" s="8" t="s">
        <v>53</v>
      </c>
      <c r="B10" s="29" t="s">
        <v>54</v>
      </c>
      <c r="C10" s="8" t="s">
        <v>55</v>
      </c>
      <c r="D10" s="8" t="s">
        <v>78</v>
      </c>
      <c r="E10" s="8" t="s">
        <v>79</v>
      </c>
      <c r="F10" s="8"/>
      <c r="G10" s="8" t="s">
        <v>62</v>
      </c>
      <c r="H10" s="8" t="s">
        <v>80</v>
      </c>
      <c r="I10" s="8">
        <v>5</v>
      </c>
      <c r="J10" s="8"/>
      <c r="K10" s="8"/>
      <c r="L10" s="8"/>
      <c r="M10" s="8"/>
      <c r="N10" s="8"/>
      <c r="O10" s="8"/>
      <c r="P10" s="60"/>
      <c r="R10" s="38" t="s">
        <v>1703</v>
      </c>
      <c r="S10" s="8" t="s">
        <v>1707</v>
      </c>
      <c r="T10" s="8" t="s">
        <v>1706</v>
      </c>
      <c r="U10" s="8" t="s">
        <v>1705</v>
      </c>
      <c r="V10" s="8" t="s">
        <v>1191</v>
      </c>
      <c r="W10" s="8" t="s">
        <v>1364</v>
      </c>
      <c r="X10" s="8" t="s">
        <v>1704</v>
      </c>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173.25">
      <c r="A12" s="8" t="s">
        <v>53</v>
      </c>
      <c r="B12" s="29" t="s">
        <v>54</v>
      </c>
      <c r="C12" s="8" t="s">
        <v>81</v>
      </c>
      <c r="D12" s="8" t="s">
        <v>86</v>
      </c>
      <c r="E12" s="69" t="s">
        <v>87</v>
      </c>
      <c r="F12" s="8"/>
      <c r="G12" s="8" t="s">
        <v>62</v>
      </c>
      <c r="H12" s="8" t="s">
        <v>84</v>
      </c>
      <c r="I12" s="8" t="s">
        <v>85</v>
      </c>
      <c r="J12" s="8"/>
      <c r="K12" s="8"/>
      <c r="L12" s="8"/>
      <c r="M12" s="8"/>
      <c r="N12" s="8"/>
      <c r="O12" s="8"/>
      <c r="P12" s="60"/>
      <c r="R12" s="38" t="s">
        <v>1703</v>
      </c>
      <c r="S12" s="8" t="s">
        <v>1702</v>
      </c>
      <c r="T12" s="8" t="s">
        <v>1701</v>
      </c>
      <c r="U12" s="8"/>
      <c r="V12" s="8" t="s">
        <v>1191</v>
      </c>
      <c r="W12" s="8" t="s">
        <v>1364</v>
      </c>
      <c r="X12" s="8" t="s">
        <v>10</v>
      </c>
      <c r="Y12" s="8"/>
      <c r="Z12" s="8"/>
      <c r="AA12" s="8" t="s">
        <v>1700</v>
      </c>
    </row>
    <row r="13" spans="1:27" ht="173.25">
      <c r="A13" s="8" t="s">
        <v>53</v>
      </c>
      <c r="B13" s="29" t="s">
        <v>54</v>
      </c>
      <c r="C13" s="8" t="s">
        <v>81</v>
      </c>
      <c r="D13" s="8" t="s">
        <v>88</v>
      </c>
      <c r="E13" s="69" t="s">
        <v>89</v>
      </c>
      <c r="F13" s="8"/>
      <c r="G13" s="8" t="s">
        <v>62</v>
      </c>
      <c r="H13" s="8" t="s">
        <v>84</v>
      </c>
      <c r="I13" s="8" t="s">
        <v>85</v>
      </c>
      <c r="J13" s="8"/>
      <c r="K13" s="8"/>
      <c r="L13" s="8"/>
      <c r="M13" s="8"/>
      <c r="N13" s="8"/>
      <c r="O13" s="8"/>
      <c r="P13" s="60"/>
      <c r="R13" s="38" t="s">
        <v>1703</v>
      </c>
      <c r="S13" s="8" t="s">
        <v>1702</v>
      </c>
      <c r="T13" s="8" t="s">
        <v>1701</v>
      </c>
      <c r="U13" s="8"/>
      <c r="V13" s="8" t="s">
        <v>1191</v>
      </c>
      <c r="W13" s="8" t="s">
        <v>1364</v>
      </c>
      <c r="X13" s="8" t="s">
        <v>10</v>
      </c>
      <c r="Y13" s="8"/>
      <c r="Z13" s="8"/>
      <c r="AA13" s="8" t="s">
        <v>1700</v>
      </c>
    </row>
    <row r="14" spans="1:27" ht="173.25">
      <c r="A14" s="8" t="s">
        <v>53</v>
      </c>
      <c r="B14" s="29" t="s">
        <v>54</v>
      </c>
      <c r="C14" s="8" t="s">
        <v>81</v>
      </c>
      <c r="D14" s="8" t="s">
        <v>90</v>
      </c>
      <c r="E14" s="69" t="s">
        <v>91</v>
      </c>
      <c r="F14" s="8"/>
      <c r="G14" s="8" t="s">
        <v>62</v>
      </c>
      <c r="H14" s="8" t="s">
        <v>84</v>
      </c>
      <c r="I14" s="8" t="s">
        <v>85</v>
      </c>
      <c r="J14" s="8"/>
      <c r="K14" s="8"/>
      <c r="L14" s="8"/>
      <c r="M14" s="8"/>
      <c r="N14" s="8"/>
      <c r="O14" s="8"/>
      <c r="P14" s="60"/>
      <c r="R14" s="38" t="s">
        <v>1703</v>
      </c>
      <c r="S14" s="8" t="s">
        <v>1702</v>
      </c>
      <c r="T14" s="8" t="s">
        <v>1701</v>
      </c>
      <c r="U14" s="8"/>
      <c r="V14" s="8" t="s">
        <v>1191</v>
      </c>
      <c r="W14" s="8" t="s">
        <v>1364</v>
      </c>
      <c r="X14" s="8" t="s">
        <v>10</v>
      </c>
      <c r="Y14" s="8"/>
      <c r="Z14" s="8"/>
      <c r="AA14" s="8" t="s">
        <v>1700</v>
      </c>
    </row>
    <row r="15" spans="1:27" ht="173.25">
      <c r="A15" s="8" t="s">
        <v>53</v>
      </c>
      <c r="B15" s="29" t="s">
        <v>54</v>
      </c>
      <c r="C15" s="8" t="s">
        <v>81</v>
      </c>
      <c r="D15" s="8" t="s">
        <v>92</v>
      </c>
      <c r="E15" s="69" t="s">
        <v>93</v>
      </c>
      <c r="F15" s="8"/>
      <c r="G15" s="8" t="s">
        <v>62</v>
      </c>
      <c r="H15" s="8" t="s">
        <v>84</v>
      </c>
      <c r="I15" s="8" t="s">
        <v>85</v>
      </c>
      <c r="J15" s="8"/>
      <c r="K15" s="8"/>
      <c r="L15" s="8"/>
      <c r="M15" s="8"/>
      <c r="N15" s="8"/>
      <c r="O15" s="8"/>
      <c r="P15" s="60"/>
      <c r="R15" s="38" t="s">
        <v>1703</v>
      </c>
      <c r="S15" s="8" t="s">
        <v>1702</v>
      </c>
      <c r="T15" s="8" t="s">
        <v>1701</v>
      </c>
      <c r="U15" s="8"/>
      <c r="V15" s="8" t="s">
        <v>1191</v>
      </c>
      <c r="W15" s="8" t="s">
        <v>1364</v>
      </c>
      <c r="X15" s="8" t="s">
        <v>10</v>
      </c>
      <c r="Y15" s="8"/>
      <c r="Z15" s="8"/>
      <c r="AA15" s="8" t="s">
        <v>1700</v>
      </c>
    </row>
    <row r="16" spans="1:27" ht="315">
      <c r="A16" s="8" t="s">
        <v>53</v>
      </c>
      <c r="B16" s="29" t="s">
        <v>54</v>
      </c>
      <c r="C16" s="8" t="s">
        <v>81</v>
      </c>
      <c r="D16" s="8" t="s">
        <v>94</v>
      </c>
      <c r="E16" s="69" t="s">
        <v>95</v>
      </c>
      <c r="F16" s="8"/>
      <c r="G16" s="8" t="s">
        <v>62</v>
      </c>
      <c r="H16" s="8" t="s">
        <v>84</v>
      </c>
      <c r="I16" s="8" t="s">
        <v>85</v>
      </c>
      <c r="J16" s="8"/>
      <c r="K16" s="8"/>
      <c r="L16" s="8"/>
      <c r="M16" s="8"/>
      <c r="N16" s="8"/>
      <c r="O16" s="8"/>
      <c r="P16" s="60"/>
      <c r="R16" s="38" t="s">
        <v>1699</v>
      </c>
      <c r="S16" s="8" t="s">
        <v>1698</v>
      </c>
      <c r="T16" s="8" t="s">
        <v>1697</v>
      </c>
      <c r="U16" s="8"/>
      <c r="V16" s="8" t="s">
        <v>8</v>
      </c>
      <c r="W16" s="8"/>
      <c r="X16" s="8" t="s">
        <v>9</v>
      </c>
      <c r="Y16" s="8" t="s">
        <v>1696</v>
      </c>
      <c r="Z16" s="8"/>
      <c r="AA16" s="8"/>
    </row>
    <row r="17" spans="1:27" ht="173.25">
      <c r="A17" s="8" t="s">
        <v>53</v>
      </c>
      <c r="B17" s="29" t="s">
        <v>54</v>
      </c>
      <c r="C17" s="8" t="s">
        <v>81</v>
      </c>
      <c r="D17" s="8" t="s">
        <v>96</v>
      </c>
      <c r="E17" s="69" t="s">
        <v>97</v>
      </c>
      <c r="F17" s="8"/>
      <c r="G17" s="8" t="s">
        <v>62</v>
      </c>
      <c r="H17" s="8" t="s">
        <v>84</v>
      </c>
      <c r="I17" s="8" t="s">
        <v>85</v>
      </c>
      <c r="J17" s="8"/>
      <c r="K17" s="8"/>
      <c r="L17" s="8"/>
      <c r="M17" s="8"/>
      <c r="N17" s="8"/>
      <c r="O17" s="8"/>
      <c r="P17" s="60"/>
      <c r="R17" s="38" t="s">
        <v>1703</v>
      </c>
      <c r="S17" s="8" t="s">
        <v>1702</v>
      </c>
      <c r="T17" s="8" t="s">
        <v>1701</v>
      </c>
      <c r="U17" s="8"/>
      <c r="V17" s="8" t="s">
        <v>1191</v>
      </c>
      <c r="W17" s="8" t="s">
        <v>1364</v>
      </c>
      <c r="X17" s="8" t="s">
        <v>10</v>
      </c>
      <c r="Y17" s="8"/>
      <c r="Z17" s="8"/>
      <c r="AA17" s="8" t="s">
        <v>1700</v>
      </c>
    </row>
    <row r="18" spans="1:27" ht="173.25">
      <c r="A18" s="8" t="s">
        <v>53</v>
      </c>
      <c r="B18" s="29" t="s">
        <v>54</v>
      </c>
      <c r="C18" s="8" t="s">
        <v>81</v>
      </c>
      <c r="D18" s="8" t="s">
        <v>98</v>
      </c>
      <c r="E18" s="69" t="s">
        <v>99</v>
      </c>
      <c r="F18" s="8"/>
      <c r="G18" s="8" t="s">
        <v>62</v>
      </c>
      <c r="H18" s="8" t="s">
        <v>84</v>
      </c>
      <c r="I18" s="8" t="s">
        <v>85</v>
      </c>
      <c r="J18" s="8"/>
      <c r="K18" s="8"/>
      <c r="L18" s="8"/>
      <c r="M18" s="8"/>
      <c r="N18" s="8"/>
      <c r="O18" s="8"/>
      <c r="P18" s="60"/>
      <c r="R18" s="38" t="s">
        <v>1703</v>
      </c>
      <c r="S18" s="8" t="s">
        <v>1702</v>
      </c>
      <c r="T18" s="8" t="s">
        <v>1701</v>
      </c>
      <c r="U18" s="8"/>
      <c r="V18" s="8" t="s">
        <v>1191</v>
      </c>
      <c r="W18" s="8" t="s">
        <v>1364</v>
      </c>
      <c r="X18" s="8" t="s">
        <v>10</v>
      </c>
      <c r="Y18" s="8"/>
      <c r="Z18" s="8"/>
      <c r="AA18" s="8" t="s">
        <v>1700</v>
      </c>
    </row>
    <row r="19" spans="1:27" ht="173.25">
      <c r="A19" s="8" t="s">
        <v>53</v>
      </c>
      <c r="B19" s="29" t="s">
        <v>54</v>
      </c>
      <c r="C19" s="8" t="s">
        <v>81</v>
      </c>
      <c r="D19" s="8" t="s">
        <v>100</v>
      </c>
      <c r="E19" s="69" t="s">
        <v>101</v>
      </c>
      <c r="F19" s="8"/>
      <c r="G19" s="8" t="s">
        <v>62</v>
      </c>
      <c r="H19" s="8" t="s">
        <v>84</v>
      </c>
      <c r="I19" s="8" t="s">
        <v>85</v>
      </c>
      <c r="J19" s="8"/>
      <c r="K19" s="8"/>
      <c r="L19" s="8"/>
      <c r="M19" s="8"/>
      <c r="N19" s="8"/>
      <c r="O19" s="8"/>
      <c r="P19" s="60"/>
      <c r="R19" s="38" t="s">
        <v>1703</v>
      </c>
      <c r="S19" s="8" t="s">
        <v>1702</v>
      </c>
      <c r="T19" s="8" t="s">
        <v>1701</v>
      </c>
      <c r="U19" s="8"/>
      <c r="V19" s="8" t="s">
        <v>1191</v>
      </c>
      <c r="W19" s="8" t="s">
        <v>1364</v>
      </c>
      <c r="X19" s="8" t="s">
        <v>10</v>
      </c>
      <c r="Y19" s="8"/>
      <c r="Z19" s="8"/>
      <c r="AA19" s="8" t="s">
        <v>1700</v>
      </c>
    </row>
    <row r="20" spans="1:27" ht="173.25">
      <c r="A20" s="8" t="s">
        <v>53</v>
      </c>
      <c r="B20" s="29" t="s">
        <v>54</v>
      </c>
      <c r="C20" s="8" t="s">
        <v>81</v>
      </c>
      <c r="D20" s="8" t="s">
        <v>102</v>
      </c>
      <c r="E20" s="69" t="s">
        <v>103</v>
      </c>
      <c r="F20" s="8"/>
      <c r="G20" s="8" t="s">
        <v>62</v>
      </c>
      <c r="H20" s="8" t="s">
        <v>84</v>
      </c>
      <c r="I20" s="8" t="s">
        <v>85</v>
      </c>
      <c r="J20" s="8"/>
      <c r="K20" s="8"/>
      <c r="L20" s="8"/>
      <c r="M20" s="8"/>
      <c r="N20" s="8"/>
      <c r="O20" s="8"/>
      <c r="P20" s="60"/>
      <c r="R20" s="38" t="s">
        <v>1703</v>
      </c>
      <c r="S20" s="8" t="s">
        <v>1702</v>
      </c>
      <c r="T20" s="8" t="s">
        <v>1701</v>
      </c>
      <c r="U20" s="8"/>
      <c r="V20" s="8" t="s">
        <v>1191</v>
      </c>
      <c r="W20" s="8" t="s">
        <v>1364</v>
      </c>
      <c r="X20" s="8" t="s">
        <v>10</v>
      </c>
      <c r="Y20" s="8"/>
      <c r="Z20" s="8"/>
      <c r="AA20" s="8" t="s">
        <v>1700</v>
      </c>
    </row>
    <row r="21" spans="1:27" ht="142.5" hidden="1" customHeight="1">
      <c r="A21" s="8" t="s">
        <v>53</v>
      </c>
      <c r="B21" s="29" t="s">
        <v>54</v>
      </c>
      <c r="C21" s="8" t="s">
        <v>81</v>
      </c>
      <c r="D21" s="8" t="s">
        <v>104</v>
      </c>
      <c r="E21" s="8" t="s">
        <v>105</v>
      </c>
      <c r="F21" s="8"/>
      <c r="G21" s="8" t="s">
        <v>62</v>
      </c>
      <c r="H21" s="8" t="s">
        <v>106</v>
      </c>
      <c r="I21" s="9">
        <v>1</v>
      </c>
      <c r="J21" s="9"/>
      <c r="K21" s="11"/>
      <c r="L21" s="9"/>
      <c r="M21" s="9"/>
      <c r="N21" s="9"/>
      <c r="O21" s="9"/>
      <c r="P21" s="60"/>
      <c r="Q21" s="47"/>
      <c r="R21" s="37"/>
      <c r="S21" s="9"/>
      <c r="T21" s="9"/>
      <c r="U21" s="9"/>
      <c r="V21" s="9"/>
      <c r="W21" s="9"/>
      <c r="X21" s="9"/>
      <c r="Y21" s="9"/>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t="s">
        <v>1617</v>
      </c>
      <c r="S24" s="9" t="s">
        <v>1695</v>
      </c>
      <c r="T24" s="9" t="s">
        <v>1694</v>
      </c>
      <c r="U24" s="9"/>
      <c r="V24" s="9" t="s">
        <v>1191</v>
      </c>
      <c r="W24" s="9"/>
      <c r="X24" s="9" t="s">
        <v>9</v>
      </c>
      <c r="Y24" s="9"/>
      <c r="Z24" s="9"/>
      <c r="AA24" s="8" t="s">
        <v>1693</v>
      </c>
    </row>
    <row r="25" spans="1:27" ht="409.5">
      <c r="A25" s="8" t="s">
        <v>53</v>
      </c>
      <c r="B25" s="29" t="s">
        <v>54</v>
      </c>
      <c r="C25" s="8" t="s">
        <v>81</v>
      </c>
      <c r="D25" s="8" t="s">
        <v>116</v>
      </c>
      <c r="E25" s="69" t="s">
        <v>117</v>
      </c>
      <c r="F25" s="8"/>
      <c r="G25" s="8" t="s">
        <v>62</v>
      </c>
      <c r="H25" s="8" t="s">
        <v>113</v>
      </c>
      <c r="I25" s="9">
        <v>1</v>
      </c>
      <c r="J25" s="9"/>
      <c r="K25" s="9"/>
      <c r="L25" s="9"/>
      <c r="M25" s="9"/>
      <c r="N25" s="9"/>
      <c r="O25" s="9"/>
      <c r="P25" s="60"/>
      <c r="Q25" s="47"/>
      <c r="R25" s="37" t="s">
        <v>1692</v>
      </c>
      <c r="S25" s="9" t="s">
        <v>1691</v>
      </c>
      <c r="T25" s="9" t="s">
        <v>1690</v>
      </c>
      <c r="U25" s="9" t="s">
        <v>1576</v>
      </c>
      <c r="V25" s="9" t="s">
        <v>1191</v>
      </c>
      <c r="W25" s="9" t="s">
        <v>1364</v>
      </c>
      <c r="X25" s="9" t="s">
        <v>9</v>
      </c>
      <c r="Y25" s="9"/>
      <c r="Z25" s="9"/>
      <c r="AA25" s="8"/>
    </row>
    <row r="26" spans="1:27" ht="236.25">
      <c r="A26" s="8" t="s">
        <v>53</v>
      </c>
      <c r="B26" s="29" t="s">
        <v>54</v>
      </c>
      <c r="C26" s="8" t="s">
        <v>81</v>
      </c>
      <c r="D26" s="8" t="s">
        <v>118</v>
      </c>
      <c r="E26" s="69" t="s">
        <v>119</v>
      </c>
      <c r="F26" s="8"/>
      <c r="G26" s="8" t="s">
        <v>62</v>
      </c>
      <c r="H26" s="8" t="s">
        <v>113</v>
      </c>
      <c r="I26" s="9">
        <v>1</v>
      </c>
      <c r="J26" s="9"/>
      <c r="K26" s="9"/>
      <c r="L26" s="9"/>
      <c r="M26" s="9"/>
      <c r="N26" s="9"/>
      <c r="O26" s="9"/>
      <c r="P26" s="60"/>
      <c r="Q26" s="47"/>
      <c r="R26" s="37" t="s">
        <v>1689</v>
      </c>
      <c r="S26" s="9" t="s">
        <v>1689</v>
      </c>
      <c r="T26" s="9" t="s">
        <v>1688</v>
      </c>
      <c r="U26" s="9" t="s">
        <v>1576</v>
      </c>
      <c r="V26" s="9" t="s">
        <v>1191</v>
      </c>
      <c r="W26" s="9" t="s">
        <v>1682</v>
      </c>
      <c r="X26" s="9" t="s">
        <v>1205</v>
      </c>
      <c r="Y26" s="9"/>
      <c r="Z26" s="9"/>
      <c r="AA26" s="8"/>
    </row>
    <row r="27" spans="1:27" ht="78.75"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8" t="s">
        <v>1678</v>
      </c>
      <c r="T27" s="9"/>
      <c r="U27" s="9"/>
      <c r="V27" s="9" t="s">
        <v>1191</v>
      </c>
      <c r="W27" s="9" t="s">
        <v>1682</v>
      </c>
      <c r="X27" s="9" t="s">
        <v>10</v>
      </c>
      <c r="Y27" s="9"/>
      <c r="Z27" s="9"/>
      <c r="AA27" s="8"/>
    </row>
    <row r="28" spans="1:27" ht="141.75" hidden="1">
      <c r="A28" s="8" t="s">
        <v>53</v>
      </c>
      <c r="B28" s="29" t="s">
        <v>54</v>
      </c>
      <c r="C28" s="8" t="s">
        <v>81</v>
      </c>
      <c r="D28" s="8" t="s">
        <v>122</v>
      </c>
      <c r="E28" s="8" t="s">
        <v>123</v>
      </c>
      <c r="F28" s="8"/>
      <c r="G28" s="8" t="s">
        <v>71</v>
      </c>
      <c r="H28" s="8" t="s">
        <v>124</v>
      </c>
      <c r="I28" s="9">
        <v>1</v>
      </c>
      <c r="J28" s="8"/>
      <c r="K28" s="8"/>
      <c r="L28" s="8"/>
      <c r="M28" s="8"/>
      <c r="N28" s="8"/>
      <c r="O28" s="8"/>
      <c r="P28" s="60"/>
      <c r="R28" s="38"/>
      <c r="S28" s="8" t="s">
        <v>1678</v>
      </c>
      <c r="T28" s="8" t="s">
        <v>1687</v>
      </c>
      <c r="U28" s="8" t="s">
        <v>1576</v>
      </c>
      <c r="V28" s="8" t="s">
        <v>1191</v>
      </c>
      <c r="W28" s="8" t="s">
        <v>1364</v>
      </c>
      <c r="X28" s="8" t="s">
        <v>10</v>
      </c>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8" t="s">
        <v>130</v>
      </c>
      <c r="F30" s="8"/>
      <c r="G30" s="20" t="s">
        <v>131</v>
      </c>
      <c r="H30" s="20"/>
      <c r="I30" s="22"/>
      <c r="J30" s="22"/>
      <c r="K30" s="20"/>
      <c r="L30" s="22"/>
      <c r="M30" s="22"/>
      <c r="N30" s="22"/>
      <c r="O30" s="22"/>
      <c r="P30" s="35"/>
      <c r="Q30" s="47"/>
      <c r="R30" s="61"/>
      <c r="S30" s="22"/>
      <c r="T30" s="22"/>
      <c r="U30" s="22"/>
      <c r="V30" s="22"/>
      <c r="W30" s="22"/>
      <c r="X30" s="22"/>
      <c r="Y30" s="22"/>
      <c r="Z30" s="22"/>
      <c r="AA30" s="20"/>
    </row>
    <row r="31" spans="1:27" ht="267.7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t="s">
        <v>1634</v>
      </c>
      <c r="T31" s="8" t="s">
        <v>1686</v>
      </c>
      <c r="U31" s="8" t="s">
        <v>1576</v>
      </c>
      <c r="V31" s="8" t="s">
        <v>8</v>
      </c>
      <c r="W31" s="8" t="s">
        <v>1364</v>
      </c>
      <c r="X31" s="8" t="s">
        <v>9</v>
      </c>
      <c r="Y31" s="8"/>
      <c r="Z31" s="8"/>
      <c r="AA31" s="8" t="s">
        <v>1685</v>
      </c>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78.75">
      <c r="A33" s="8" t="s">
        <v>53</v>
      </c>
      <c r="B33" s="29" t="s">
        <v>54</v>
      </c>
      <c r="C33" s="8" t="s">
        <v>128</v>
      </c>
      <c r="D33" s="8" t="s">
        <v>140</v>
      </c>
      <c r="E33" s="69" t="s">
        <v>141</v>
      </c>
      <c r="F33" s="8"/>
      <c r="G33" s="8" t="s">
        <v>131</v>
      </c>
      <c r="H33" s="8" t="s">
        <v>142</v>
      </c>
      <c r="I33" s="8" t="s">
        <v>143</v>
      </c>
      <c r="J33" s="8"/>
      <c r="K33" s="8"/>
      <c r="L33" s="8"/>
      <c r="M33" s="8"/>
      <c r="N33" s="8"/>
      <c r="O33" s="8"/>
      <c r="P33" s="60"/>
      <c r="R33" s="38" t="s">
        <v>1684</v>
      </c>
      <c r="S33" s="8"/>
      <c r="T33" s="8" t="s">
        <v>1683</v>
      </c>
      <c r="U33" s="8"/>
      <c r="V33" s="8" t="s">
        <v>1215</v>
      </c>
      <c r="W33" s="8" t="s">
        <v>1682</v>
      </c>
      <c r="X33" s="8" t="s">
        <v>1205</v>
      </c>
      <c r="Y33" s="8"/>
      <c r="Z33" s="8"/>
      <c r="AA33" s="8"/>
    </row>
    <row r="34" spans="1:27" ht="31.5" hidden="1">
      <c r="A34" s="8" t="s">
        <v>53</v>
      </c>
      <c r="B34" s="29" t="s">
        <v>54</v>
      </c>
      <c r="C34" s="8" t="s">
        <v>128</v>
      </c>
      <c r="D34" s="8" t="s">
        <v>144</v>
      </c>
      <c r="E34" s="12" t="s">
        <v>145</v>
      </c>
      <c r="F34" s="8"/>
      <c r="G34" s="20" t="s">
        <v>131</v>
      </c>
      <c r="H34" s="20"/>
      <c r="I34" s="22"/>
      <c r="J34" s="22"/>
      <c r="K34" s="20"/>
      <c r="L34" s="22"/>
      <c r="M34" s="22"/>
      <c r="N34" s="22"/>
      <c r="O34" s="22"/>
      <c r="P34" s="35"/>
      <c r="Q34" s="47"/>
      <c r="R34" s="61"/>
      <c r="S34" s="22"/>
      <c r="T34" s="22"/>
      <c r="U34" s="22"/>
      <c r="V34" s="22"/>
      <c r="W34" s="22"/>
      <c r="X34" s="22"/>
      <c r="Y34" s="22"/>
      <c r="Z34" s="22"/>
      <c r="AA34" s="20"/>
    </row>
    <row r="35" spans="1:27" ht="141.75">
      <c r="A35" s="8" t="s">
        <v>53</v>
      </c>
      <c r="B35" s="29" t="s">
        <v>54</v>
      </c>
      <c r="C35" s="8" t="s">
        <v>128</v>
      </c>
      <c r="D35" s="8" t="s">
        <v>146</v>
      </c>
      <c r="E35" s="69" t="s">
        <v>147</v>
      </c>
      <c r="F35" s="8"/>
      <c r="G35" s="8" t="s">
        <v>131</v>
      </c>
      <c r="H35" s="12" t="s">
        <v>148</v>
      </c>
      <c r="I35" s="8" t="s">
        <v>149</v>
      </c>
      <c r="J35" s="12"/>
      <c r="K35" s="12"/>
      <c r="L35" s="12"/>
      <c r="M35" s="12"/>
      <c r="N35" s="12"/>
      <c r="O35" s="12"/>
      <c r="P35" s="60"/>
      <c r="Q35" s="48"/>
      <c r="R35" s="40" t="s">
        <v>1681</v>
      </c>
      <c r="S35" s="12" t="s">
        <v>1634</v>
      </c>
      <c r="T35" s="12" t="s">
        <v>1680</v>
      </c>
      <c r="U35" s="12"/>
      <c r="V35" s="12" t="s">
        <v>8</v>
      </c>
      <c r="W35" s="12">
        <v>2024</v>
      </c>
      <c r="X35" s="12" t="s">
        <v>9</v>
      </c>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20" t="s">
        <v>131</v>
      </c>
      <c r="H37" s="20"/>
      <c r="I37" s="22"/>
      <c r="J37" s="22"/>
      <c r="K37" s="20"/>
      <c r="L37" s="22"/>
      <c r="M37" s="22"/>
      <c r="N37" s="22"/>
      <c r="O37" s="22"/>
      <c r="P37" s="35"/>
      <c r="Q37" s="47"/>
      <c r="R37" s="61"/>
      <c r="S37" s="22"/>
      <c r="T37" s="22"/>
      <c r="U37" s="22"/>
      <c r="V37" s="22"/>
      <c r="W37" s="22"/>
      <c r="X37" s="22"/>
      <c r="Y37" s="22"/>
      <c r="Z37" s="22"/>
      <c r="AA37" s="20"/>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09.5">
      <c r="A45" s="8" t="s">
        <v>53</v>
      </c>
      <c r="B45" s="29" t="s">
        <v>54</v>
      </c>
      <c r="C45" s="8" t="s">
        <v>128</v>
      </c>
      <c r="D45" s="8" t="s">
        <v>180</v>
      </c>
      <c r="E45" s="12" t="s">
        <v>181</v>
      </c>
      <c r="F45" s="8"/>
      <c r="G45" s="8" t="s">
        <v>71</v>
      </c>
      <c r="H45" s="12" t="s">
        <v>182</v>
      </c>
      <c r="I45" s="15">
        <v>1</v>
      </c>
      <c r="J45" s="15"/>
      <c r="K45" s="16"/>
      <c r="L45" s="16"/>
      <c r="M45" s="16"/>
      <c r="N45" s="16"/>
      <c r="O45" s="16"/>
      <c r="P45" s="60"/>
      <c r="Q45" s="49"/>
      <c r="R45" s="43" t="s">
        <v>1679</v>
      </c>
      <c r="S45" s="16" t="s">
        <v>1655</v>
      </c>
      <c r="T45" s="16" t="s">
        <v>1654</v>
      </c>
      <c r="U45" s="16" t="s">
        <v>1576</v>
      </c>
      <c r="V45" s="16" t="s">
        <v>1191</v>
      </c>
      <c r="W45" s="16" t="s">
        <v>1364</v>
      </c>
      <c r="X45" s="16" t="s">
        <v>10</v>
      </c>
      <c r="Y45" s="16"/>
      <c r="Z45" s="16"/>
      <c r="AA45" s="8"/>
    </row>
    <row r="46" spans="1:27" ht="299.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9" t="s">
        <v>1678</v>
      </c>
      <c r="T46" s="9" t="s">
        <v>1677</v>
      </c>
      <c r="U46" s="16" t="s">
        <v>1576</v>
      </c>
      <c r="V46" s="9" t="s">
        <v>1191</v>
      </c>
      <c r="W46" s="9" t="s">
        <v>1364</v>
      </c>
      <c r="X46" s="9" t="s">
        <v>9</v>
      </c>
      <c r="Y46" s="9" t="s">
        <v>1676</v>
      </c>
      <c r="Z46" s="9"/>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63">
      <c r="A48" s="8" t="s">
        <v>53</v>
      </c>
      <c r="B48" s="29" t="s">
        <v>54</v>
      </c>
      <c r="C48" s="8" t="s">
        <v>128</v>
      </c>
      <c r="D48" s="8" t="s">
        <v>189</v>
      </c>
      <c r="E48" s="12" t="s">
        <v>190</v>
      </c>
      <c r="F48" s="8"/>
      <c r="G48" s="8" t="s">
        <v>62</v>
      </c>
      <c r="H48" s="12" t="s">
        <v>191</v>
      </c>
      <c r="I48" s="12" t="s">
        <v>192</v>
      </c>
      <c r="J48" s="12"/>
      <c r="K48" s="13"/>
      <c r="L48" s="13"/>
      <c r="M48" s="13"/>
      <c r="N48" s="13"/>
      <c r="O48" s="13"/>
      <c r="P48" s="60"/>
      <c r="Q48" s="48"/>
      <c r="R48" s="41" t="s">
        <v>1600</v>
      </c>
      <c r="S48" s="13" t="s">
        <v>1600</v>
      </c>
      <c r="T48" s="13" t="s">
        <v>1675</v>
      </c>
      <c r="U48" s="16" t="s">
        <v>1576</v>
      </c>
      <c r="V48" s="13" t="s">
        <v>1191</v>
      </c>
      <c r="W48" s="13"/>
      <c r="X48" s="13"/>
      <c r="Y48" s="13"/>
      <c r="Z48" s="13"/>
      <c r="AA48" s="8"/>
    </row>
    <row r="49" spans="1:27" ht="63">
      <c r="A49" s="8" t="s">
        <v>53</v>
      </c>
      <c r="B49" s="29" t="s">
        <v>54</v>
      </c>
      <c r="C49" s="8" t="s">
        <v>128</v>
      </c>
      <c r="D49" s="8" t="s">
        <v>193</v>
      </c>
      <c r="E49" s="12" t="s">
        <v>190</v>
      </c>
      <c r="F49" s="8"/>
      <c r="G49" s="8" t="s">
        <v>62</v>
      </c>
      <c r="H49" s="12" t="s">
        <v>194</v>
      </c>
      <c r="I49" s="12" t="s">
        <v>135</v>
      </c>
      <c r="J49" s="8"/>
      <c r="K49" s="14"/>
      <c r="L49" s="14"/>
      <c r="M49" s="14"/>
      <c r="N49" s="14"/>
      <c r="O49" s="14"/>
      <c r="P49" s="60"/>
      <c r="R49" s="42" t="s">
        <v>1600</v>
      </c>
      <c r="S49" s="14" t="s">
        <v>1600</v>
      </c>
      <c r="T49" s="14" t="s">
        <v>1675</v>
      </c>
      <c r="U49" s="16" t="s">
        <v>1576</v>
      </c>
      <c r="V49" s="14" t="s">
        <v>1191</v>
      </c>
      <c r="W49" s="14"/>
      <c r="X49" s="14"/>
      <c r="Y49" s="14"/>
      <c r="Z49" s="14"/>
      <c r="AA49" s="8"/>
    </row>
    <row r="50" spans="1:27" ht="94.5" hidden="1">
      <c r="A50" s="8" t="s">
        <v>53</v>
      </c>
      <c r="B50" s="29" t="s">
        <v>195</v>
      </c>
      <c r="C50" s="8" t="s">
        <v>196</v>
      </c>
      <c r="D50" s="8" t="s">
        <v>197</v>
      </c>
      <c r="E50" s="8" t="s">
        <v>198</v>
      </c>
      <c r="F50" s="8"/>
      <c r="G50" s="20" t="s">
        <v>62</v>
      </c>
      <c r="H50" s="20"/>
      <c r="I50" s="22"/>
      <c r="J50" s="22"/>
      <c r="K50" s="20"/>
      <c r="L50" s="22"/>
      <c r="M50" s="22"/>
      <c r="N50" s="22"/>
      <c r="O50" s="22"/>
      <c r="P50" s="35"/>
      <c r="Q50" s="47"/>
      <c r="R50" s="61"/>
      <c r="S50" s="22"/>
      <c r="T50" s="22"/>
      <c r="U50" s="22"/>
      <c r="V50" s="22"/>
      <c r="W50" s="22"/>
      <c r="X50" s="22"/>
      <c r="Y50" s="22"/>
      <c r="Z50" s="22"/>
      <c r="AA50" s="20"/>
    </row>
    <row r="51" spans="1:27" ht="157.5">
      <c r="A51" s="8" t="s">
        <v>53</v>
      </c>
      <c r="B51" s="29" t="s">
        <v>195</v>
      </c>
      <c r="C51" s="8" t="s">
        <v>196</v>
      </c>
      <c r="D51" s="8" t="s">
        <v>199</v>
      </c>
      <c r="E51" s="69" t="s">
        <v>200</v>
      </c>
      <c r="F51" s="8"/>
      <c r="G51" s="8" t="s">
        <v>62</v>
      </c>
      <c r="H51" s="8" t="s">
        <v>201</v>
      </c>
      <c r="I51" s="15">
        <v>1</v>
      </c>
      <c r="J51" s="9"/>
      <c r="K51" s="9"/>
      <c r="L51" s="9"/>
      <c r="M51" s="9"/>
      <c r="N51" s="9"/>
      <c r="O51" s="9"/>
      <c r="P51" s="60"/>
      <c r="Q51" s="47"/>
      <c r="R51" s="37" t="s">
        <v>1674</v>
      </c>
      <c r="S51" s="9" t="s">
        <v>1673</v>
      </c>
      <c r="T51" s="9" t="s">
        <v>1672</v>
      </c>
      <c r="U51" s="9" t="s">
        <v>1576</v>
      </c>
      <c r="V51" s="9" t="s">
        <v>1191</v>
      </c>
      <c r="W51" s="9"/>
      <c r="X51" s="9" t="s">
        <v>9</v>
      </c>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20" t="s">
        <v>62</v>
      </c>
      <c r="H53" s="20"/>
      <c r="I53" s="22"/>
      <c r="J53" s="22"/>
      <c r="K53" s="20"/>
      <c r="L53" s="22"/>
      <c r="M53" s="22"/>
      <c r="N53" s="22"/>
      <c r="O53" s="22"/>
      <c r="P53" s="35"/>
      <c r="Q53" s="47"/>
      <c r="R53" s="61"/>
      <c r="S53" s="22"/>
      <c r="T53" s="22"/>
      <c r="U53" s="22"/>
      <c r="V53" s="22"/>
      <c r="W53" s="22"/>
      <c r="X53" s="22"/>
      <c r="Y53" s="22"/>
      <c r="Z53" s="22"/>
      <c r="AA53" s="20"/>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20" t="s">
        <v>62</v>
      </c>
      <c r="H58" s="20" t="s">
        <v>225</v>
      </c>
      <c r="I58" s="22" t="s">
        <v>226</v>
      </c>
      <c r="J58" s="22"/>
      <c r="K58" s="20"/>
      <c r="L58" s="22"/>
      <c r="M58" s="22"/>
      <c r="N58" s="22"/>
      <c r="O58" s="22"/>
      <c r="P58" s="35"/>
      <c r="Q58" s="47"/>
      <c r="R58" s="61"/>
      <c r="S58" s="22"/>
      <c r="T58" s="22"/>
      <c r="U58" s="22"/>
      <c r="V58" s="22"/>
      <c r="W58" s="22"/>
      <c r="X58" s="22"/>
      <c r="Y58" s="22"/>
      <c r="Z58" s="22"/>
      <c r="AA58" s="20"/>
    </row>
    <row r="59" spans="1:27" ht="157.5">
      <c r="A59" s="8" t="s">
        <v>53</v>
      </c>
      <c r="B59" s="29" t="s">
        <v>195</v>
      </c>
      <c r="C59" s="8" t="s">
        <v>222</v>
      </c>
      <c r="D59" s="8" t="s">
        <v>227</v>
      </c>
      <c r="E59" s="69" t="s">
        <v>228</v>
      </c>
      <c r="F59" s="8"/>
      <c r="G59" s="8" t="s">
        <v>62</v>
      </c>
      <c r="H59" s="8" t="s">
        <v>229</v>
      </c>
      <c r="I59" s="8" t="s">
        <v>226</v>
      </c>
      <c r="J59" s="8"/>
      <c r="K59" s="8"/>
      <c r="L59" s="8"/>
      <c r="M59" s="8"/>
      <c r="N59" s="8"/>
      <c r="O59" s="8"/>
      <c r="P59" s="60"/>
      <c r="R59" s="38" t="s">
        <v>1617</v>
      </c>
      <c r="S59" s="8" t="s">
        <v>1622</v>
      </c>
      <c r="T59" s="8" t="s">
        <v>1671</v>
      </c>
      <c r="U59" s="8" t="s">
        <v>1576</v>
      </c>
      <c r="V59" s="8" t="s">
        <v>1191</v>
      </c>
      <c r="W59" s="8" t="s">
        <v>1364</v>
      </c>
      <c r="X59" s="8" t="s">
        <v>9</v>
      </c>
      <c r="Y59" s="8" t="s">
        <v>1670</v>
      </c>
      <c r="Z59" s="8"/>
      <c r="AA59" s="8"/>
    </row>
    <row r="60" spans="1:27" ht="79.5" customHeight="1">
      <c r="A60" s="8" t="s">
        <v>53</v>
      </c>
      <c r="B60" s="29" t="s">
        <v>195</v>
      </c>
      <c r="C60" s="8" t="s">
        <v>222</v>
      </c>
      <c r="D60" s="8" t="s">
        <v>230</v>
      </c>
      <c r="E60" s="69" t="s">
        <v>231</v>
      </c>
      <c r="F60" s="8"/>
      <c r="G60" s="8" t="s">
        <v>62</v>
      </c>
      <c r="H60" s="8" t="s">
        <v>232</v>
      </c>
      <c r="I60" s="8" t="s">
        <v>226</v>
      </c>
      <c r="J60" s="8"/>
      <c r="K60" s="8"/>
      <c r="L60" s="8"/>
      <c r="M60" s="8"/>
      <c r="N60" s="8"/>
      <c r="O60" s="8"/>
      <c r="P60" s="60"/>
      <c r="R60" s="38" t="s">
        <v>1617</v>
      </c>
      <c r="S60" s="8" t="s">
        <v>1622</v>
      </c>
      <c r="T60" s="8" t="s">
        <v>1671</v>
      </c>
      <c r="U60" s="8" t="s">
        <v>1576</v>
      </c>
      <c r="V60" s="8" t="s">
        <v>1191</v>
      </c>
      <c r="W60" s="8" t="s">
        <v>1364</v>
      </c>
      <c r="X60" s="8" t="s">
        <v>9</v>
      </c>
      <c r="Y60" s="8" t="s">
        <v>1670</v>
      </c>
      <c r="Z60" s="8"/>
      <c r="AA60" s="8"/>
    </row>
    <row r="61" spans="1:27" ht="157.5">
      <c r="A61" s="8" t="s">
        <v>53</v>
      </c>
      <c r="B61" s="29" t="s">
        <v>195</v>
      </c>
      <c r="C61" s="8" t="s">
        <v>222</v>
      </c>
      <c r="D61" s="8" t="s">
        <v>233</v>
      </c>
      <c r="E61" s="69" t="s">
        <v>234</v>
      </c>
      <c r="F61" s="8"/>
      <c r="G61" s="8" t="s">
        <v>62</v>
      </c>
      <c r="H61" s="8" t="s">
        <v>235</v>
      </c>
      <c r="I61" s="8" t="s">
        <v>226</v>
      </c>
      <c r="J61" s="8"/>
      <c r="K61" s="8"/>
      <c r="L61" s="8"/>
      <c r="M61" s="8"/>
      <c r="N61" s="8"/>
      <c r="O61" s="8"/>
      <c r="P61" s="60"/>
      <c r="R61" s="38" t="s">
        <v>1617</v>
      </c>
      <c r="S61" s="8" t="s">
        <v>1622</v>
      </c>
      <c r="T61" s="8" t="s">
        <v>1671</v>
      </c>
      <c r="U61" s="8" t="s">
        <v>1576</v>
      </c>
      <c r="V61" s="8" t="s">
        <v>1191</v>
      </c>
      <c r="W61" s="8" t="s">
        <v>1364</v>
      </c>
      <c r="X61" s="8" t="s">
        <v>9</v>
      </c>
      <c r="Y61" s="8" t="s">
        <v>1670</v>
      </c>
      <c r="Z61" s="8"/>
      <c r="AA61" s="8"/>
    </row>
    <row r="62" spans="1:27" ht="157.5">
      <c r="A62" s="8" t="s">
        <v>53</v>
      </c>
      <c r="B62" s="29" t="s">
        <v>195</v>
      </c>
      <c r="C62" s="8" t="s">
        <v>222</v>
      </c>
      <c r="D62" s="8" t="s">
        <v>236</v>
      </c>
      <c r="E62" s="69" t="s">
        <v>237</v>
      </c>
      <c r="F62" s="8"/>
      <c r="G62" s="8" t="s">
        <v>62</v>
      </c>
      <c r="H62" s="8" t="s">
        <v>238</v>
      </c>
      <c r="I62" s="8" t="s">
        <v>226</v>
      </c>
      <c r="J62" s="8"/>
      <c r="K62" s="8"/>
      <c r="L62" s="8"/>
      <c r="M62" s="8"/>
      <c r="N62" s="8"/>
      <c r="O62" s="8"/>
      <c r="P62" s="60"/>
      <c r="R62" s="38" t="s">
        <v>1617</v>
      </c>
      <c r="S62" s="8" t="s">
        <v>1622</v>
      </c>
      <c r="T62" s="8" t="s">
        <v>1671</v>
      </c>
      <c r="U62" s="8" t="s">
        <v>1576</v>
      </c>
      <c r="V62" s="8" t="s">
        <v>1191</v>
      </c>
      <c r="W62" s="8" t="s">
        <v>1364</v>
      </c>
      <c r="X62" s="8" t="s">
        <v>9</v>
      </c>
      <c r="Y62" s="8" t="s">
        <v>1670</v>
      </c>
      <c r="Z62" s="8"/>
      <c r="AA62" s="8"/>
    </row>
    <row r="63" spans="1:27" ht="157.5">
      <c r="A63" s="8" t="s">
        <v>53</v>
      </c>
      <c r="B63" s="29" t="s">
        <v>195</v>
      </c>
      <c r="C63" s="8" t="s">
        <v>222</v>
      </c>
      <c r="D63" s="8" t="s">
        <v>239</v>
      </c>
      <c r="E63" s="69" t="s">
        <v>240</v>
      </c>
      <c r="F63" s="8"/>
      <c r="G63" s="8" t="s">
        <v>62</v>
      </c>
      <c r="H63" s="8" t="s">
        <v>241</v>
      </c>
      <c r="I63" s="8" t="s">
        <v>226</v>
      </c>
      <c r="J63" s="8"/>
      <c r="K63" s="8"/>
      <c r="L63" s="8"/>
      <c r="M63" s="8"/>
      <c r="N63" s="8"/>
      <c r="O63" s="8"/>
      <c r="P63" s="60"/>
      <c r="R63" s="38" t="s">
        <v>1617</v>
      </c>
      <c r="S63" s="8" t="s">
        <v>1622</v>
      </c>
      <c r="T63" s="8" t="s">
        <v>1671</v>
      </c>
      <c r="U63" s="8" t="s">
        <v>1576</v>
      </c>
      <c r="V63" s="8" t="s">
        <v>1191</v>
      </c>
      <c r="W63" s="8" t="s">
        <v>1364</v>
      </c>
      <c r="X63" s="8" t="s">
        <v>9</v>
      </c>
      <c r="Y63" s="8" t="s">
        <v>1670</v>
      </c>
      <c r="Z63" s="8"/>
      <c r="AA63" s="8"/>
    </row>
    <row r="64" spans="1:27" ht="157.5">
      <c r="A64" s="8" t="s">
        <v>53</v>
      </c>
      <c r="B64" s="29" t="s">
        <v>195</v>
      </c>
      <c r="C64" s="8" t="s">
        <v>222</v>
      </c>
      <c r="D64" s="8" t="s">
        <v>242</v>
      </c>
      <c r="E64" s="69" t="s">
        <v>243</v>
      </c>
      <c r="F64" s="8"/>
      <c r="G64" s="8" t="s">
        <v>62</v>
      </c>
      <c r="H64" s="8" t="s">
        <v>244</v>
      </c>
      <c r="I64" s="8" t="s">
        <v>226</v>
      </c>
      <c r="J64" s="8"/>
      <c r="K64" s="8"/>
      <c r="L64" s="8"/>
      <c r="M64" s="8"/>
      <c r="N64" s="8"/>
      <c r="O64" s="8"/>
      <c r="P64" s="60"/>
      <c r="R64" s="38" t="s">
        <v>1617</v>
      </c>
      <c r="S64" s="8" t="s">
        <v>1622</v>
      </c>
      <c r="T64" s="8" t="s">
        <v>1671</v>
      </c>
      <c r="U64" s="8" t="s">
        <v>1576</v>
      </c>
      <c r="V64" s="8" t="s">
        <v>1191</v>
      </c>
      <c r="W64" s="8" t="s">
        <v>1364</v>
      </c>
      <c r="X64" s="8" t="s">
        <v>9</v>
      </c>
      <c r="Y64" s="8" t="s">
        <v>1670</v>
      </c>
      <c r="Z64" s="8"/>
      <c r="AA64" s="8"/>
    </row>
    <row r="65" spans="1:27" ht="157.5">
      <c r="A65" s="8" t="s">
        <v>53</v>
      </c>
      <c r="B65" s="29" t="s">
        <v>195</v>
      </c>
      <c r="C65" s="8" t="s">
        <v>222</v>
      </c>
      <c r="D65" s="8" t="s">
        <v>245</v>
      </c>
      <c r="E65" s="69" t="s">
        <v>246</v>
      </c>
      <c r="F65" s="8"/>
      <c r="G65" s="8" t="s">
        <v>62</v>
      </c>
      <c r="H65" s="8" t="s">
        <v>247</v>
      </c>
      <c r="I65" s="8" t="s">
        <v>226</v>
      </c>
      <c r="J65" s="8"/>
      <c r="K65" s="8"/>
      <c r="L65" s="8"/>
      <c r="M65" s="8"/>
      <c r="N65" s="8"/>
      <c r="O65" s="8"/>
      <c r="P65" s="60"/>
      <c r="R65" s="38" t="s">
        <v>1617</v>
      </c>
      <c r="S65" s="8" t="s">
        <v>1622</v>
      </c>
      <c r="T65" s="8" t="s">
        <v>1671</v>
      </c>
      <c r="U65" s="8" t="s">
        <v>1576</v>
      </c>
      <c r="V65" s="8" t="s">
        <v>1191</v>
      </c>
      <c r="W65" s="8" t="s">
        <v>1364</v>
      </c>
      <c r="X65" s="8" t="s">
        <v>9</v>
      </c>
      <c r="Y65" s="8" t="s">
        <v>1670</v>
      </c>
      <c r="Z65" s="8"/>
      <c r="AA65" s="8"/>
    </row>
    <row r="66" spans="1:27" ht="157.5">
      <c r="A66" s="8" t="s">
        <v>53</v>
      </c>
      <c r="B66" s="29" t="s">
        <v>195</v>
      </c>
      <c r="C66" s="8" t="s">
        <v>222</v>
      </c>
      <c r="D66" s="8" t="s">
        <v>248</v>
      </c>
      <c r="E66" s="69" t="s">
        <v>249</v>
      </c>
      <c r="F66" s="8"/>
      <c r="G66" s="8" t="s">
        <v>62</v>
      </c>
      <c r="H66" s="8" t="s">
        <v>250</v>
      </c>
      <c r="I66" s="8" t="s">
        <v>226</v>
      </c>
      <c r="J66" s="8"/>
      <c r="K66" s="8"/>
      <c r="L66" s="8"/>
      <c r="M66" s="8"/>
      <c r="N66" s="8"/>
      <c r="O66" s="8"/>
      <c r="P66" s="60"/>
      <c r="R66" s="38" t="s">
        <v>1617</v>
      </c>
      <c r="S66" s="8" t="s">
        <v>1622</v>
      </c>
      <c r="T66" s="8" t="s">
        <v>1671</v>
      </c>
      <c r="U66" s="8" t="s">
        <v>1576</v>
      </c>
      <c r="V66" s="8" t="s">
        <v>1191</v>
      </c>
      <c r="W66" s="8" t="s">
        <v>1364</v>
      </c>
      <c r="X66" s="8" t="s">
        <v>9</v>
      </c>
      <c r="Y66" s="8" t="s">
        <v>1670</v>
      </c>
      <c r="Z66" s="8"/>
      <c r="AA66" s="8"/>
    </row>
    <row r="67" spans="1:27" ht="82.5" customHeight="1">
      <c r="A67" s="8" t="s">
        <v>53</v>
      </c>
      <c r="B67" s="29" t="s">
        <v>195</v>
      </c>
      <c r="C67" s="8" t="s">
        <v>251</v>
      </c>
      <c r="D67" s="8" t="s">
        <v>252</v>
      </c>
      <c r="E67" s="8" t="s">
        <v>253</v>
      </c>
      <c r="F67" s="8"/>
      <c r="G67" s="8" t="s">
        <v>62</v>
      </c>
      <c r="H67" s="8" t="s">
        <v>254</v>
      </c>
      <c r="I67" s="8" t="s">
        <v>255</v>
      </c>
      <c r="J67" s="8"/>
      <c r="K67" s="8"/>
      <c r="L67" s="8"/>
      <c r="M67" s="8"/>
      <c r="N67" s="8"/>
      <c r="O67" s="8"/>
      <c r="P67" s="60"/>
      <c r="R67" s="38" t="s">
        <v>1612</v>
      </c>
      <c r="S67" s="8" t="s">
        <v>1669</v>
      </c>
      <c r="T67" s="8" t="s">
        <v>1668</v>
      </c>
      <c r="U67" s="16" t="s">
        <v>1576</v>
      </c>
      <c r="V67" s="8" t="s">
        <v>1191</v>
      </c>
      <c r="W67" s="8" t="s">
        <v>1364</v>
      </c>
      <c r="X67" s="8" t="s">
        <v>9</v>
      </c>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141.75">
      <c r="A72" s="8" t="s">
        <v>53</v>
      </c>
      <c r="B72" s="29" t="s">
        <v>195</v>
      </c>
      <c r="C72" s="8" t="s">
        <v>256</v>
      </c>
      <c r="D72" s="8" t="s">
        <v>271</v>
      </c>
      <c r="E72" s="8" t="s">
        <v>272</v>
      </c>
      <c r="F72" s="8"/>
      <c r="G72" s="8" t="s">
        <v>71</v>
      </c>
      <c r="H72" s="8" t="s">
        <v>273</v>
      </c>
      <c r="I72" s="8" t="s">
        <v>135</v>
      </c>
      <c r="J72" s="8"/>
      <c r="K72" s="8"/>
      <c r="L72" s="8"/>
      <c r="M72" s="8"/>
      <c r="N72" s="8"/>
      <c r="O72" s="8"/>
      <c r="P72" s="60"/>
      <c r="R72" s="38" t="s">
        <v>1667</v>
      </c>
      <c r="S72" s="8" t="s">
        <v>1634</v>
      </c>
      <c r="T72" s="8" t="s">
        <v>1666</v>
      </c>
      <c r="U72" s="16" t="s">
        <v>1576</v>
      </c>
      <c r="V72" s="8" t="s">
        <v>1191</v>
      </c>
      <c r="W72" s="8" t="s">
        <v>1364</v>
      </c>
      <c r="X72" s="8" t="s">
        <v>9</v>
      </c>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16"/>
      <c r="V73" s="20"/>
      <c r="W73" s="20"/>
      <c r="X73" s="20"/>
      <c r="Y73" s="20"/>
      <c r="Z73" s="20"/>
      <c r="AA73" s="20"/>
    </row>
    <row r="74" spans="1:27" ht="220.5">
      <c r="A74" s="8"/>
      <c r="B74" s="29" t="s">
        <v>274</v>
      </c>
      <c r="C74" s="8" t="s">
        <v>275</v>
      </c>
      <c r="D74" s="8" t="s">
        <v>278</v>
      </c>
      <c r="E74" s="69" t="s">
        <v>279</v>
      </c>
      <c r="F74" s="8"/>
      <c r="G74" s="8" t="s">
        <v>62</v>
      </c>
      <c r="H74" s="8" t="s">
        <v>280</v>
      </c>
      <c r="I74" s="17">
        <v>1</v>
      </c>
      <c r="J74" s="8"/>
      <c r="K74" s="8"/>
      <c r="L74" s="8"/>
      <c r="M74" s="8"/>
      <c r="N74" s="8"/>
      <c r="O74" s="8"/>
      <c r="P74" s="60"/>
      <c r="R74" s="38" t="s">
        <v>1665</v>
      </c>
      <c r="S74" s="8" t="s">
        <v>1622</v>
      </c>
      <c r="T74" s="8" t="s">
        <v>1664</v>
      </c>
      <c r="U74" s="8" t="s">
        <v>1576</v>
      </c>
      <c r="V74" s="8" t="s">
        <v>1191</v>
      </c>
      <c r="W74" s="8" t="s">
        <v>1364</v>
      </c>
      <c r="X74" s="8" t="s">
        <v>9</v>
      </c>
      <c r="Y74" s="8"/>
      <c r="Z74" s="8"/>
      <c r="AA74" s="8"/>
    </row>
    <row r="75" spans="1:27" ht="220.5">
      <c r="A75" s="8" t="s">
        <v>53</v>
      </c>
      <c r="B75" s="29" t="s">
        <v>274</v>
      </c>
      <c r="C75" s="8" t="s">
        <v>275</v>
      </c>
      <c r="D75" s="8" t="s">
        <v>281</v>
      </c>
      <c r="E75" s="69" t="s">
        <v>279</v>
      </c>
      <c r="F75" s="8"/>
      <c r="G75" s="8" t="s">
        <v>62</v>
      </c>
      <c r="H75" s="8" t="s">
        <v>282</v>
      </c>
      <c r="I75" s="17">
        <v>1</v>
      </c>
      <c r="J75" s="9"/>
      <c r="K75" s="9"/>
      <c r="L75" s="9"/>
      <c r="M75" s="9"/>
      <c r="N75" s="9"/>
      <c r="O75" s="9"/>
      <c r="P75" s="60"/>
      <c r="Q75" s="47"/>
      <c r="R75" s="38" t="s">
        <v>1665</v>
      </c>
      <c r="S75" s="8" t="s">
        <v>1622</v>
      </c>
      <c r="T75" s="8" t="s">
        <v>1664</v>
      </c>
      <c r="U75" s="8" t="s">
        <v>1576</v>
      </c>
      <c r="V75" s="8" t="s">
        <v>1191</v>
      </c>
      <c r="W75" s="8" t="s">
        <v>1364</v>
      </c>
      <c r="X75" s="8" t="s">
        <v>9</v>
      </c>
      <c r="Y75" s="8"/>
      <c r="Z75" s="8"/>
      <c r="AA75" s="8"/>
    </row>
    <row r="76" spans="1:27" ht="220.5">
      <c r="A76" s="8" t="s">
        <v>53</v>
      </c>
      <c r="B76" s="29" t="s">
        <v>274</v>
      </c>
      <c r="C76" s="8" t="s">
        <v>275</v>
      </c>
      <c r="D76" s="8" t="s">
        <v>283</v>
      </c>
      <c r="E76" s="69" t="s">
        <v>284</v>
      </c>
      <c r="F76" s="8"/>
      <c r="G76" s="8" t="s">
        <v>62</v>
      </c>
      <c r="H76" s="8" t="s">
        <v>285</v>
      </c>
      <c r="I76" s="17">
        <v>1</v>
      </c>
      <c r="J76" s="8"/>
      <c r="K76" s="8"/>
      <c r="L76" s="8"/>
      <c r="M76" s="8"/>
      <c r="N76" s="8"/>
      <c r="O76" s="8"/>
      <c r="P76" s="60"/>
      <c r="R76" s="38" t="s">
        <v>1665</v>
      </c>
      <c r="S76" s="8" t="s">
        <v>1622</v>
      </c>
      <c r="T76" s="8" t="s">
        <v>1664</v>
      </c>
      <c r="U76" s="8" t="s">
        <v>1576</v>
      </c>
      <c r="V76" s="8" t="s">
        <v>1191</v>
      </c>
      <c r="W76" s="8" t="s">
        <v>1364</v>
      </c>
      <c r="X76" s="8" t="s">
        <v>9</v>
      </c>
      <c r="Y76" s="8"/>
      <c r="Z76" s="8"/>
      <c r="AA76" s="8"/>
    </row>
    <row r="77" spans="1:27" ht="220.5">
      <c r="A77" s="8"/>
      <c r="B77" s="29" t="s">
        <v>274</v>
      </c>
      <c r="C77" s="8" t="s">
        <v>275</v>
      </c>
      <c r="D77" s="8" t="s">
        <v>286</v>
      </c>
      <c r="E77" s="69" t="s">
        <v>284</v>
      </c>
      <c r="F77" s="8"/>
      <c r="G77" s="8" t="s">
        <v>62</v>
      </c>
      <c r="H77" s="8" t="s">
        <v>287</v>
      </c>
      <c r="I77" s="17">
        <v>1</v>
      </c>
      <c r="J77" s="8"/>
      <c r="K77" s="8"/>
      <c r="L77" s="8"/>
      <c r="M77" s="8"/>
      <c r="N77" s="8"/>
      <c r="O77" s="8"/>
      <c r="P77" s="60"/>
      <c r="R77" s="38" t="s">
        <v>1665</v>
      </c>
      <c r="S77" s="8" t="s">
        <v>1622</v>
      </c>
      <c r="T77" s="8" t="s">
        <v>1664</v>
      </c>
      <c r="U77" s="8" t="s">
        <v>1576</v>
      </c>
      <c r="V77" s="8" t="s">
        <v>1191</v>
      </c>
      <c r="W77" s="8" t="s">
        <v>1364</v>
      </c>
      <c r="X77" s="8" t="s">
        <v>9</v>
      </c>
      <c r="Y77" s="8"/>
      <c r="Z77" s="8"/>
      <c r="AA77" s="8"/>
    </row>
    <row r="78" spans="1:27" ht="220.5">
      <c r="A78" s="8" t="s">
        <v>53</v>
      </c>
      <c r="B78" s="29" t="s">
        <v>274</v>
      </c>
      <c r="C78" s="8" t="s">
        <v>275</v>
      </c>
      <c r="D78" s="8" t="s">
        <v>288</v>
      </c>
      <c r="E78" s="69" t="s">
        <v>289</v>
      </c>
      <c r="F78" s="8"/>
      <c r="G78" s="8" t="s">
        <v>62</v>
      </c>
      <c r="H78" s="8" t="s">
        <v>290</v>
      </c>
      <c r="I78" s="17">
        <v>1</v>
      </c>
      <c r="J78" s="8"/>
      <c r="K78" s="8"/>
      <c r="L78" s="8"/>
      <c r="M78" s="8"/>
      <c r="N78" s="8"/>
      <c r="O78" s="8"/>
      <c r="P78" s="60"/>
      <c r="R78" s="38" t="s">
        <v>1665</v>
      </c>
      <c r="S78" s="8" t="s">
        <v>1622</v>
      </c>
      <c r="T78" s="8" t="s">
        <v>1664</v>
      </c>
      <c r="U78" s="8" t="s">
        <v>1576</v>
      </c>
      <c r="V78" s="8" t="s">
        <v>1191</v>
      </c>
      <c r="W78" s="8" t="s">
        <v>1364</v>
      </c>
      <c r="X78" s="8" t="s">
        <v>9</v>
      </c>
      <c r="Y78" s="8"/>
      <c r="Z78" s="8"/>
      <c r="AA78" s="8"/>
    </row>
    <row r="79" spans="1:27" ht="220.5">
      <c r="A79" s="8" t="s">
        <v>53</v>
      </c>
      <c r="B79" s="29" t="s">
        <v>274</v>
      </c>
      <c r="C79" s="8" t="s">
        <v>275</v>
      </c>
      <c r="D79" s="8" t="s">
        <v>291</v>
      </c>
      <c r="E79" s="69" t="s">
        <v>289</v>
      </c>
      <c r="F79" s="8"/>
      <c r="G79" s="8" t="s">
        <v>62</v>
      </c>
      <c r="H79" s="8" t="s">
        <v>292</v>
      </c>
      <c r="I79" s="17">
        <v>1</v>
      </c>
      <c r="J79" s="8"/>
      <c r="K79" s="8"/>
      <c r="L79" s="8"/>
      <c r="M79" s="8"/>
      <c r="N79" s="8"/>
      <c r="O79" s="8"/>
      <c r="P79" s="60"/>
      <c r="R79" s="38" t="s">
        <v>1665</v>
      </c>
      <c r="S79" s="8" t="s">
        <v>1622</v>
      </c>
      <c r="T79" s="8" t="s">
        <v>1664</v>
      </c>
      <c r="U79" s="8" t="s">
        <v>1576</v>
      </c>
      <c r="V79" s="8" t="s">
        <v>1191</v>
      </c>
      <c r="W79" s="8" t="s">
        <v>1364</v>
      </c>
      <c r="X79" s="8" t="s">
        <v>9</v>
      </c>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220.5">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t="s">
        <v>1663</v>
      </c>
      <c r="S86" s="90" t="s">
        <v>1576</v>
      </c>
      <c r="T86" s="76" t="s">
        <v>1662</v>
      </c>
      <c r="U86" s="16" t="s">
        <v>1576</v>
      </c>
      <c r="V86" s="76" t="s">
        <v>1090</v>
      </c>
      <c r="W86" s="76"/>
      <c r="X86" s="76" t="s">
        <v>9</v>
      </c>
      <c r="Y86" s="76"/>
      <c r="Z86" s="76"/>
      <c r="AA86" s="76"/>
    </row>
    <row r="87" spans="1:27" ht="110.25">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t="s">
        <v>1661</v>
      </c>
      <c r="S87" s="86" t="s">
        <v>1634</v>
      </c>
      <c r="T87" s="86" t="s">
        <v>1660</v>
      </c>
      <c r="U87" s="16" t="s">
        <v>1576</v>
      </c>
      <c r="V87" s="86" t="s">
        <v>8</v>
      </c>
      <c r="W87" s="86"/>
      <c r="X87" s="86" t="s">
        <v>10</v>
      </c>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189">
      <c r="A90" s="8" t="s">
        <v>53</v>
      </c>
      <c r="B90" s="29" t="s">
        <v>274</v>
      </c>
      <c r="C90" s="8" t="s">
        <v>319</v>
      </c>
      <c r="D90" s="8" t="s">
        <v>326</v>
      </c>
      <c r="E90" s="69" t="s">
        <v>327</v>
      </c>
      <c r="F90" s="8"/>
      <c r="G90" s="8" t="s">
        <v>62</v>
      </c>
      <c r="H90" s="8" t="s">
        <v>328</v>
      </c>
      <c r="I90" s="9">
        <v>1</v>
      </c>
      <c r="J90" s="8"/>
      <c r="K90" s="8"/>
      <c r="L90" s="8"/>
      <c r="M90" s="8"/>
      <c r="N90" s="8"/>
      <c r="O90" s="8"/>
      <c r="P90" s="60"/>
      <c r="R90" s="38" t="s">
        <v>1659</v>
      </c>
      <c r="S90" s="8" t="s">
        <v>1658</v>
      </c>
      <c r="T90" s="8" t="s">
        <v>1657</v>
      </c>
      <c r="U90" s="16" t="s">
        <v>1576</v>
      </c>
      <c r="V90" s="8" t="s">
        <v>1191</v>
      </c>
      <c r="W90" s="8" t="s">
        <v>1364</v>
      </c>
      <c r="X90" s="8" t="s">
        <v>9</v>
      </c>
      <c r="Y90" s="8"/>
      <c r="Z90" s="8"/>
      <c r="AA90" s="8"/>
    </row>
    <row r="91" spans="1:27" ht="409.5">
      <c r="A91" s="8" t="s">
        <v>53</v>
      </c>
      <c r="B91" s="29" t="s">
        <v>274</v>
      </c>
      <c r="C91" s="8" t="s">
        <v>319</v>
      </c>
      <c r="D91" s="8" t="s">
        <v>329</v>
      </c>
      <c r="E91" s="8" t="s">
        <v>330</v>
      </c>
      <c r="F91" s="8"/>
      <c r="G91" s="8" t="s">
        <v>62</v>
      </c>
      <c r="H91" s="8" t="s">
        <v>182</v>
      </c>
      <c r="I91" s="9">
        <v>1</v>
      </c>
      <c r="J91" s="9"/>
      <c r="K91" s="9"/>
      <c r="L91" s="9"/>
      <c r="M91" s="9"/>
      <c r="N91" s="9"/>
      <c r="O91" s="9"/>
      <c r="P91" s="60"/>
      <c r="Q91" s="47"/>
      <c r="R91" s="43" t="s">
        <v>1656</v>
      </c>
      <c r="S91" s="16" t="s">
        <v>1655</v>
      </c>
      <c r="T91" s="16" t="s">
        <v>1654</v>
      </c>
      <c r="U91" s="16" t="s">
        <v>1576</v>
      </c>
      <c r="V91" s="16" t="s">
        <v>1191</v>
      </c>
      <c r="W91" s="16" t="s">
        <v>1364</v>
      </c>
      <c r="X91" s="16" t="s">
        <v>10</v>
      </c>
      <c r="Y91" s="9"/>
      <c r="Z91" s="9"/>
      <c r="AA91" s="8"/>
    </row>
    <row r="92" spans="1:27" ht="409.5">
      <c r="A92" s="8" t="s">
        <v>53</v>
      </c>
      <c r="B92" s="29" t="s">
        <v>274</v>
      </c>
      <c r="C92" s="8" t="s">
        <v>319</v>
      </c>
      <c r="D92" s="8" t="s">
        <v>331</v>
      </c>
      <c r="E92" s="8" t="s">
        <v>332</v>
      </c>
      <c r="F92" s="8"/>
      <c r="G92" s="8" t="s">
        <v>62</v>
      </c>
      <c r="H92" s="8" t="s">
        <v>182</v>
      </c>
      <c r="I92" s="9">
        <v>1</v>
      </c>
      <c r="J92" s="9"/>
      <c r="K92" s="9"/>
      <c r="L92" s="9"/>
      <c r="M92" s="9"/>
      <c r="N92" s="9"/>
      <c r="O92" s="9"/>
      <c r="P92" s="60"/>
      <c r="Q92" s="47"/>
      <c r="R92" s="37" t="s">
        <v>1653</v>
      </c>
      <c r="S92" s="9" t="s">
        <v>1646</v>
      </c>
      <c r="T92" s="9" t="s">
        <v>1652</v>
      </c>
      <c r="U92" s="16" t="s">
        <v>1576</v>
      </c>
      <c r="V92" s="9" t="s">
        <v>1191</v>
      </c>
      <c r="W92" s="9" t="s">
        <v>1364</v>
      </c>
      <c r="X92" s="9" t="s">
        <v>9</v>
      </c>
      <c r="Y92" s="9" t="s">
        <v>1651</v>
      </c>
      <c r="Z92" s="9" t="s">
        <v>1650</v>
      </c>
      <c r="AA92" s="8" t="s">
        <v>1649</v>
      </c>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16"/>
      <c r="V94" s="20"/>
      <c r="W94" s="20"/>
      <c r="X94" s="20"/>
      <c r="Y94" s="20"/>
      <c r="Z94" s="20"/>
      <c r="AA94" s="20"/>
    </row>
    <row r="95" spans="1:27" ht="78.75">
      <c r="A95" s="8" t="s">
        <v>53</v>
      </c>
      <c r="B95" s="29" t="s">
        <v>336</v>
      </c>
      <c r="C95" s="8" t="s">
        <v>337</v>
      </c>
      <c r="D95" s="8" t="s">
        <v>340</v>
      </c>
      <c r="E95" s="69" t="s">
        <v>341</v>
      </c>
      <c r="F95" s="8"/>
      <c r="G95" s="8" t="s">
        <v>62</v>
      </c>
      <c r="H95" s="8" t="s">
        <v>342</v>
      </c>
      <c r="I95" s="8" t="s">
        <v>343</v>
      </c>
      <c r="J95" s="8"/>
      <c r="K95" s="8"/>
      <c r="L95" s="8"/>
      <c r="M95" s="8"/>
      <c r="N95" s="8"/>
      <c r="O95" s="8"/>
      <c r="P95" s="60"/>
      <c r="R95" s="38" t="s">
        <v>1617</v>
      </c>
      <c r="S95" s="8" t="s">
        <v>1636</v>
      </c>
      <c r="T95" s="8" t="s">
        <v>1648</v>
      </c>
      <c r="U95" s="16" t="s">
        <v>1576</v>
      </c>
      <c r="V95" s="8" t="s">
        <v>1191</v>
      </c>
      <c r="W95" s="8" t="s">
        <v>1364</v>
      </c>
      <c r="X95" s="8" t="s">
        <v>9</v>
      </c>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409.5">
      <c r="A134" s="8" t="s">
        <v>53</v>
      </c>
      <c r="B134" s="29" t="s">
        <v>336</v>
      </c>
      <c r="C134" s="8" t="s">
        <v>429</v>
      </c>
      <c r="D134" s="8" t="s">
        <v>430</v>
      </c>
      <c r="E134" s="8" t="s">
        <v>431</v>
      </c>
      <c r="F134" s="8"/>
      <c r="G134" s="8" t="s">
        <v>71</v>
      </c>
      <c r="H134" s="8" t="s">
        <v>432</v>
      </c>
      <c r="I134" s="8">
        <v>2030</v>
      </c>
      <c r="J134" s="8"/>
      <c r="K134" s="8"/>
      <c r="L134" s="8"/>
      <c r="M134" s="8"/>
      <c r="N134" s="8"/>
      <c r="O134" s="8"/>
      <c r="P134" s="60"/>
      <c r="R134" s="37" t="s">
        <v>1647</v>
      </c>
      <c r="S134" s="9" t="s">
        <v>1646</v>
      </c>
      <c r="T134" s="9" t="s">
        <v>1645</v>
      </c>
      <c r="U134" s="16" t="s">
        <v>1576</v>
      </c>
      <c r="V134" s="9" t="s">
        <v>1191</v>
      </c>
      <c r="W134" s="9">
        <v>2023</v>
      </c>
      <c r="X134" s="9" t="s">
        <v>9</v>
      </c>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126"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t="s">
        <v>1622</v>
      </c>
      <c r="T158" s="8" t="s">
        <v>1644</v>
      </c>
      <c r="U158" s="8" t="s">
        <v>1576</v>
      </c>
      <c r="V158" s="8" t="s">
        <v>1191</v>
      </c>
      <c r="W158" s="8" t="s">
        <v>1364</v>
      </c>
      <c r="X158" s="8" t="s">
        <v>9</v>
      </c>
      <c r="Y158" s="8"/>
      <c r="Z158" s="8"/>
      <c r="AA158" s="8"/>
    </row>
    <row r="159" spans="1:27" ht="126"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t="s">
        <v>1622</v>
      </c>
      <c r="T159" s="8" t="s">
        <v>1644</v>
      </c>
      <c r="U159" s="8" t="s">
        <v>1576</v>
      </c>
      <c r="V159" s="8" t="s">
        <v>1191</v>
      </c>
      <c r="W159" s="8" t="s">
        <v>1364</v>
      </c>
      <c r="X159" s="8" t="s">
        <v>9</v>
      </c>
      <c r="Y159" s="8"/>
      <c r="Z159" s="8"/>
      <c r="AA159" s="8"/>
    </row>
    <row r="160" spans="1:27" ht="126"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t="s">
        <v>1622</v>
      </c>
      <c r="T160" s="8" t="s">
        <v>1644</v>
      </c>
      <c r="U160" s="8" t="s">
        <v>1576</v>
      </c>
      <c r="V160" s="8" t="s">
        <v>1191</v>
      </c>
      <c r="W160" s="8" t="s">
        <v>1364</v>
      </c>
      <c r="X160" s="8" t="s">
        <v>9</v>
      </c>
      <c r="Y160" s="8"/>
      <c r="Z160" s="8"/>
      <c r="AA160" s="8"/>
    </row>
    <row r="161" spans="1:27" ht="126"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t="s">
        <v>1622</v>
      </c>
      <c r="T161" s="8" t="s">
        <v>1644</v>
      </c>
      <c r="U161" s="8" t="s">
        <v>1576</v>
      </c>
      <c r="V161" s="8" t="s">
        <v>1191</v>
      </c>
      <c r="W161" s="8" t="s">
        <v>1364</v>
      </c>
      <c r="X161" s="8" t="s">
        <v>9</v>
      </c>
      <c r="Y161" s="8"/>
      <c r="Z161" s="8"/>
      <c r="AA161" s="8"/>
    </row>
    <row r="162" spans="1:27" ht="126"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t="s">
        <v>1622</v>
      </c>
      <c r="T162" s="8" t="s">
        <v>1644</v>
      </c>
      <c r="U162" s="8" t="s">
        <v>1576</v>
      </c>
      <c r="V162" s="8" t="s">
        <v>1191</v>
      </c>
      <c r="W162" s="8" t="s">
        <v>1364</v>
      </c>
      <c r="X162" s="8" t="s">
        <v>9</v>
      </c>
      <c r="Y162" s="8"/>
      <c r="Z162" s="8"/>
      <c r="AA162" s="8"/>
    </row>
    <row r="163" spans="1:27" ht="126"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t="s">
        <v>1622</v>
      </c>
      <c r="T163" s="8" t="s">
        <v>1644</v>
      </c>
      <c r="U163" s="8" t="s">
        <v>1576</v>
      </c>
      <c r="V163" s="8" t="s">
        <v>1191</v>
      </c>
      <c r="W163" s="8" t="s">
        <v>1364</v>
      </c>
      <c r="X163" s="8" t="s">
        <v>9</v>
      </c>
      <c r="Y163" s="8"/>
      <c r="Z163" s="8"/>
      <c r="AA163" s="8"/>
    </row>
    <row r="164" spans="1:27" ht="126"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t="s">
        <v>1622</v>
      </c>
      <c r="T164" s="8" t="s">
        <v>1644</v>
      </c>
      <c r="U164" s="8" t="s">
        <v>1576</v>
      </c>
      <c r="V164" s="8" t="s">
        <v>1191</v>
      </c>
      <c r="W164" s="8" t="s">
        <v>1364</v>
      </c>
      <c r="X164" s="8" t="s">
        <v>9</v>
      </c>
      <c r="Y164" s="8"/>
      <c r="Z164" s="8"/>
      <c r="AA164" s="8"/>
    </row>
    <row r="165" spans="1:27" ht="126"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t="s">
        <v>1622</v>
      </c>
      <c r="T165" s="8" t="s">
        <v>1644</v>
      </c>
      <c r="U165" s="8" t="s">
        <v>1576</v>
      </c>
      <c r="V165" s="8" t="s">
        <v>1191</v>
      </c>
      <c r="W165" s="8" t="s">
        <v>1364</v>
      </c>
      <c r="X165" s="8" t="s">
        <v>9</v>
      </c>
      <c r="Y165" s="8"/>
      <c r="Z165" s="8"/>
      <c r="AA165" s="8"/>
    </row>
    <row r="166" spans="1:27" ht="126"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t="s">
        <v>1622</v>
      </c>
      <c r="T166" s="8" t="s">
        <v>1644</v>
      </c>
      <c r="U166" s="8" t="s">
        <v>1576</v>
      </c>
      <c r="V166" s="8" t="s">
        <v>1191</v>
      </c>
      <c r="W166" s="8" t="s">
        <v>1364</v>
      </c>
      <c r="X166" s="8" t="s">
        <v>9</v>
      </c>
      <c r="Y166" s="8"/>
      <c r="Z166" s="8"/>
      <c r="AA166" s="8"/>
    </row>
    <row r="167" spans="1:27" ht="157.5">
      <c r="A167" s="8" t="s">
        <v>16</v>
      </c>
      <c r="B167" s="29" t="s">
        <v>54</v>
      </c>
      <c r="C167" s="8" t="s">
        <v>486</v>
      </c>
      <c r="D167" s="8" t="s">
        <v>511</v>
      </c>
      <c r="E167" s="69" t="s">
        <v>512</v>
      </c>
      <c r="F167" s="8"/>
      <c r="G167" s="8" t="s">
        <v>62</v>
      </c>
      <c r="H167" s="8" t="s">
        <v>493</v>
      </c>
      <c r="I167" s="8" t="s">
        <v>494</v>
      </c>
      <c r="J167" s="8"/>
      <c r="K167" s="8"/>
      <c r="L167" s="8"/>
      <c r="M167" s="8"/>
      <c r="N167" s="8"/>
      <c r="O167" s="8"/>
      <c r="P167" s="60"/>
      <c r="R167" s="38" t="s">
        <v>1643</v>
      </c>
      <c r="S167" s="8" t="s">
        <v>1616</v>
      </c>
      <c r="T167" s="8" t="s">
        <v>1642</v>
      </c>
      <c r="U167" s="16" t="s">
        <v>1576</v>
      </c>
      <c r="V167" s="8" t="s">
        <v>1191</v>
      </c>
      <c r="W167" s="8" t="s">
        <v>1364</v>
      </c>
      <c r="X167" s="8" t="s">
        <v>10</v>
      </c>
      <c r="Y167" s="8"/>
      <c r="Z167" s="8"/>
      <c r="AA167" s="8"/>
    </row>
    <row r="168" spans="1:27" ht="236.25">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t="s">
        <v>1641</v>
      </c>
      <c r="S168" s="78" t="s">
        <v>1640</v>
      </c>
      <c r="T168" s="78" t="s">
        <v>1639</v>
      </c>
      <c r="U168" s="16" t="s">
        <v>1576</v>
      </c>
      <c r="V168" s="78" t="s">
        <v>1191</v>
      </c>
      <c r="W168" s="78"/>
      <c r="X168" s="78"/>
      <c r="Y168" s="78"/>
      <c r="Z168" s="78"/>
      <c r="AA168" s="78"/>
    </row>
    <row r="169" spans="1:27" ht="94.5">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t="s">
        <v>1638</v>
      </c>
      <c r="S169" s="76" t="s">
        <v>1638</v>
      </c>
      <c r="T169" s="76" t="s">
        <v>1637</v>
      </c>
      <c r="U169" s="16" t="s">
        <v>1576</v>
      </c>
      <c r="V169" s="76" t="s">
        <v>1191</v>
      </c>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t="s">
        <v>1617</v>
      </c>
      <c r="S171" s="8" t="s">
        <v>1636</v>
      </c>
      <c r="T171" s="8" t="s">
        <v>1635</v>
      </c>
      <c r="U171" s="16" t="s">
        <v>1576</v>
      </c>
      <c r="V171" s="8" t="s">
        <v>1191</v>
      </c>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c r="A176" s="8" t="s">
        <v>16</v>
      </c>
      <c r="B176" s="29" t="s">
        <v>195</v>
      </c>
      <c r="C176" s="8" t="s">
        <v>539</v>
      </c>
      <c r="D176" s="8" t="s">
        <v>540</v>
      </c>
      <c r="E176" s="8" t="s">
        <v>541</v>
      </c>
      <c r="F176" s="8"/>
      <c r="G176" s="8" t="s">
        <v>62</v>
      </c>
      <c r="H176" s="8" t="s">
        <v>542</v>
      </c>
      <c r="I176" s="9">
        <v>1</v>
      </c>
      <c r="J176" s="8"/>
      <c r="K176" s="8"/>
      <c r="L176" s="8"/>
      <c r="M176" s="8"/>
      <c r="N176" s="8"/>
      <c r="O176" s="8"/>
      <c r="P176" s="60"/>
      <c r="R176" s="38" t="s">
        <v>1634</v>
      </c>
      <c r="S176" s="8" t="s">
        <v>1633</v>
      </c>
      <c r="T176" s="8" t="s">
        <v>1632</v>
      </c>
      <c r="U176" s="16" t="s">
        <v>1576</v>
      </c>
      <c r="V176" s="8" t="s">
        <v>1191</v>
      </c>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189">
      <c r="A178" s="8" t="s">
        <v>16</v>
      </c>
      <c r="B178" s="29" t="s">
        <v>195</v>
      </c>
      <c r="C178" s="8" t="s">
        <v>543</v>
      </c>
      <c r="D178" s="8" t="s">
        <v>545</v>
      </c>
      <c r="E178" s="69" t="s">
        <v>546</v>
      </c>
      <c r="F178" s="8"/>
      <c r="G178" s="8" t="s">
        <v>62</v>
      </c>
      <c r="H178" s="8" t="s">
        <v>254</v>
      </c>
      <c r="I178" s="9">
        <v>1</v>
      </c>
      <c r="J178" s="8"/>
      <c r="K178" s="8"/>
      <c r="L178" s="8"/>
      <c r="M178" s="8"/>
      <c r="N178" s="8"/>
      <c r="O178" s="8"/>
      <c r="P178" s="60"/>
      <c r="R178" s="38" t="s">
        <v>1631</v>
      </c>
      <c r="S178" s="8" t="s">
        <v>1630</v>
      </c>
      <c r="T178" s="8" t="s">
        <v>1629</v>
      </c>
      <c r="U178" s="8" t="s">
        <v>1576</v>
      </c>
      <c r="V178" s="8" t="s">
        <v>1191</v>
      </c>
      <c r="W178" s="8" t="s">
        <v>1364</v>
      </c>
      <c r="X178" s="8" t="s">
        <v>9</v>
      </c>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t="s">
        <v>4074</v>
      </c>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283.5">
      <c r="A187" s="8" t="s">
        <v>16</v>
      </c>
      <c r="B187" s="29" t="s">
        <v>274</v>
      </c>
      <c r="C187" s="8" t="s">
        <v>571</v>
      </c>
      <c r="D187" s="8" t="s">
        <v>572</v>
      </c>
      <c r="E187" s="8" t="s">
        <v>573</v>
      </c>
      <c r="F187" s="8"/>
      <c r="G187" s="8" t="s">
        <v>62</v>
      </c>
      <c r="H187" s="8" t="s">
        <v>574</v>
      </c>
      <c r="I187" s="9">
        <v>1</v>
      </c>
      <c r="J187" s="8"/>
      <c r="K187" s="8"/>
      <c r="L187" s="8"/>
      <c r="M187" s="8"/>
      <c r="N187" s="8"/>
      <c r="O187" s="8"/>
      <c r="P187" s="60"/>
      <c r="R187" s="38" t="s">
        <v>1628</v>
      </c>
      <c r="S187" s="8" t="s">
        <v>1627</v>
      </c>
      <c r="T187" s="8" t="s">
        <v>1626</v>
      </c>
      <c r="U187" s="16" t="s">
        <v>1576</v>
      </c>
      <c r="V187" s="8" t="s">
        <v>1191</v>
      </c>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94.5">
      <c r="A189" s="8" t="s">
        <v>16</v>
      </c>
      <c r="B189" s="29" t="s">
        <v>274</v>
      </c>
      <c r="C189" s="8" t="s">
        <v>571</v>
      </c>
      <c r="D189" s="8" t="s">
        <v>578</v>
      </c>
      <c r="E189" s="8" t="s">
        <v>579</v>
      </c>
      <c r="F189" s="8"/>
      <c r="G189" s="8" t="s">
        <v>62</v>
      </c>
      <c r="H189" s="8" t="s">
        <v>580</v>
      </c>
      <c r="I189" s="9">
        <v>1</v>
      </c>
      <c r="J189" s="8"/>
      <c r="K189" s="8"/>
      <c r="L189" s="8"/>
      <c r="M189" s="8"/>
      <c r="N189" s="8"/>
      <c r="O189" s="8"/>
      <c r="P189" s="60"/>
      <c r="R189" s="38" t="s">
        <v>1625</v>
      </c>
      <c r="S189" s="8" t="s">
        <v>1624</v>
      </c>
      <c r="T189" s="8" t="s">
        <v>1623</v>
      </c>
      <c r="U189" s="16" t="s">
        <v>1576</v>
      </c>
      <c r="V189" s="8" t="s">
        <v>1090</v>
      </c>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315">
      <c r="A191" s="8" t="s">
        <v>16</v>
      </c>
      <c r="B191" s="29" t="s">
        <v>274</v>
      </c>
      <c r="C191" s="8" t="s">
        <v>583</v>
      </c>
      <c r="D191" s="8" t="s">
        <v>584</v>
      </c>
      <c r="E191" s="8" t="s">
        <v>585</v>
      </c>
      <c r="F191" s="8"/>
      <c r="G191" s="8" t="s">
        <v>62</v>
      </c>
      <c r="H191" s="8" t="s">
        <v>586</v>
      </c>
      <c r="I191" s="9">
        <v>1</v>
      </c>
      <c r="J191" s="8"/>
      <c r="K191" s="8"/>
      <c r="L191" s="8"/>
      <c r="M191" s="8"/>
      <c r="N191" s="8"/>
      <c r="O191" s="8"/>
      <c r="P191" s="60"/>
      <c r="R191" s="38" t="s">
        <v>1604</v>
      </c>
      <c r="S191" s="8" t="s">
        <v>1603</v>
      </c>
      <c r="T191" s="8" t="s">
        <v>1602</v>
      </c>
      <c r="U191" s="8" t="s">
        <v>1576</v>
      </c>
      <c r="V191" s="8" t="s">
        <v>1191</v>
      </c>
      <c r="W191" s="8" t="s">
        <v>1364</v>
      </c>
      <c r="X191" s="8" t="s">
        <v>1601</v>
      </c>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189"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t="s">
        <v>1622</v>
      </c>
      <c r="T194" s="8" t="s">
        <v>1621</v>
      </c>
      <c r="U194" s="8" t="s">
        <v>1576</v>
      </c>
      <c r="V194" s="8" t="s">
        <v>1191</v>
      </c>
      <c r="W194" s="8" t="s">
        <v>1364</v>
      </c>
      <c r="X194" s="8" t="s">
        <v>9</v>
      </c>
      <c r="Y194" s="8"/>
      <c r="Z194" s="8"/>
      <c r="AA194" s="8"/>
    </row>
    <row r="195" spans="1:27" ht="189"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t="s">
        <v>1622</v>
      </c>
      <c r="T195" s="8" t="s">
        <v>1621</v>
      </c>
      <c r="U195" s="8" t="s">
        <v>1576</v>
      </c>
      <c r="V195" s="8" t="s">
        <v>1191</v>
      </c>
      <c r="W195" s="8" t="s">
        <v>1364</v>
      </c>
      <c r="X195" s="8" t="s">
        <v>9</v>
      </c>
      <c r="Y195" s="8"/>
      <c r="Z195" s="8"/>
      <c r="AA195" s="8"/>
    </row>
    <row r="196" spans="1:27" ht="189"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t="s">
        <v>1622</v>
      </c>
      <c r="T196" s="8" t="s">
        <v>1621</v>
      </c>
      <c r="U196" s="8" t="s">
        <v>1576</v>
      </c>
      <c r="V196" s="8" t="s">
        <v>1191</v>
      </c>
      <c r="W196" s="8" t="s">
        <v>1364</v>
      </c>
      <c r="X196" s="8" t="s">
        <v>9</v>
      </c>
      <c r="Y196" s="8"/>
      <c r="Z196" s="8"/>
      <c r="AA196" s="8"/>
    </row>
    <row r="197" spans="1:27" ht="189"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t="s">
        <v>1622</v>
      </c>
      <c r="T197" s="8" t="s">
        <v>1621</v>
      </c>
      <c r="U197" s="8" t="s">
        <v>1576</v>
      </c>
      <c r="V197" s="8" t="s">
        <v>1191</v>
      </c>
      <c r="W197" s="8" t="s">
        <v>1364</v>
      </c>
      <c r="X197" s="8" t="s">
        <v>9</v>
      </c>
      <c r="Y197" s="8"/>
      <c r="Z197" s="8"/>
      <c r="AA197" s="8"/>
    </row>
    <row r="198" spans="1:27" ht="189"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t="s">
        <v>1622</v>
      </c>
      <c r="T198" s="8" t="s">
        <v>1621</v>
      </c>
      <c r="U198" s="8" t="s">
        <v>1576</v>
      </c>
      <c r="V198" s="8" t="s">
        <v>1191</v>
      </c>
      <c r="W198" s="8" t="s">
        <v>1364</v>
      </c>
      <c r="X198" s="8" t="s">
        <v>9</v>
      </c>
      <c r="Y198" s="8"/>
      <c r="Z198" s="8"/>
      <c r="AA198" s="8"/>
    </row>
    <row r="199" spans="1:27" ht="189"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t="s">
        <v>1622</v>
      </c>
      <c r="T199" s="8" t="s">
        <v>1621</v>
      </c>
      <c r="U199" s="8" t="s">
        <v>1576</v>
      </c>
      <c r="V199" s="8" t="s">
        <v>1191</v>
      </c>
      <c r="W199" s="8" t="s">
        <v>1364</v>
      </c>
      <c r="X199" s="8" t="s">
        <v>9</v>
      </c>
      <c r="Y199" s="8"/>
      <c r="Z199" s="8"/>
      <c r="AA199" s="8"/>
    </row>
    <row r="200" spans="1:27" ht="189"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t="s">
        <v>1622</v>
      </c>
      <c r="T200" s="8" t="s">
        <v>1621</v>
      </c>
      <c r="U200" s="8" t="s">
        <v>1576</v>
      </c>
      <c r="V200" s="8" t="s">
        <v>1191</v>
      </c>
      <c r="W200" s="8" t="s">
        <v>1364</v>
      </c>
      <c r="X200" s="8" t="s">
        <v>9</v>
      </c>
      <c r="Y200" s="8"/>
      <c r="Z200" s="8"/>
      <c r="AA200" s="8"/>
    </row>
    <row r="201" spans="1:27" ht="189"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t="s">
        <v>1622</v>
      </c>
      <c r="T201" s="8" t="s">
        <v>1621</v>
      </c>
      <c r="U201" s="8" t="s">
        <v>1576</v>
      </c>
      <c r="V201" s="8" t="s">
        <v>1191</v>
      </c>
      <c r="W201" s="8" t="s">
        <v>1364</v>
      </c>
      <c r="X201" s="8" t="s">
        <v>9</v>
      </c>
      <c r="Y201" s="8"/>
      <c r="Z201" s="8"/>
      <c r="AA201" s="8"/>
    </row>
    <row r="202" spans="1:27" ht="189"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t="s">
        <v>1622</v>
      </c>
      <c r="T202" s="8" t="s">
        <v>1621</v>
      </c>
      <c r="U202" s="8" t="s">
        <v>1576</v>
      </c>
      <c r="V202" s="8" t="s">
        <v>1191</v>
      </c>
      <c r="W202" s="8" t="s">
        <v>1364</v>
      </c>
      <c r="X202" s="8" t="s">
        <v>9</v>
      </c>
      <c r="Y202" s="8"/>
      <c r="Z202" s="8"/>
      <c r="AA202" s="8"/>
    </row>
    <row r="203" spans="1:27" ht="189"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t="s">
        <v>1622</v>
      </c>
      <c r="T203" s="8" t="s">
        <v>1621</v>
      </c>
      <c r="U203" s="8" t="s">
        <v>1576</v>
      </c>
      <c r="V203" s="8" t="s">
        <v>1191</v>
      </c>
      <c r="W203" s="8" t="s">
        <v>1364</v>
      </c>
      <c r="X203" s="8" t="s">
        <v>9</v>
      </c>
      <c r="Y203" s="8"/>
      <c r="Z203" s="8"/>
      <c r="AA203" s="8"/>
    </row>
    <row r="204" spans="1:27" ht="63">
      <c r="A204" s="8" t="s">
        <v>16</v>
      </c>
      <c r="B204" s="29" t="s">
        <v>587</v>
      </c>
      <c r="C204" s="8" t="s">
        <v>588</v>
      </c>
      <c r="D204" s="8" t="s">
        <v>610</v>
      </c>
      <c r="E204" s="8" t="s">
        <v>611</v>
      </c>
      <c r="F204" s="8"/>
      <c r="G204" s="8" t="s">
        <v>62</v>
      </c>
      <c r="H204" s="8" t="s">
        <v>612</v>
      </c>
      <c r="I204" s="8" t="s">
        <v>110</v>
      </c>
      <c r="J204" s="8"/>
      <c r="K204" s="8"/>
      <c r="L204" s="8"/>
      <c r="M204" s="8"/>
      <c r="N204" s="8"/>
      <c r="O204" s="8"/>
      <c r="P204" s="60"/>
      <c r="R204" s="38" t="s">
        <v>1620</v>
      </c>
      <c r="S204" s="8"/>
      <c r="T204" s="8"/>
      <c r="U204" s="8"/>
      <c r="V204" s="8" t="s">
        <v>1191</v>
      </c>
      <c r="W204" s="8">
        <v>2023</v>
      </c>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409.5">
      <c r="A217" s="8" t="s">
        <v>18</v>
      </c>
      <c r="B217" s="29" t="s">
        <v>54</v>
      </c>
      <c r="C217" s="8" t="s">
        <v>643</v>
      </c>
      <c r="D217" s="8" t="s">
        <v>647</v>
      </c>
      <c r="E217" s="8" t="s">
        <v>648</v>
      </c>
      <c r="F217" s="8"/>
      <c r="G217" s="8" t="s">
        <v>71</v>
      </c>
      <c r="H217" s="8" t="s">
        <v>649</v>
      </c>
      <c r="I217" s="9">
        <v>1</v>
      </c>
      <c r="J217" s="8"/>
      <c r="K217" s="8"/>
      <c r="L217" s="8"/>
      <c r="M217" s="8"/>
      <c r="N217" s="8"/>
      <c r="O217" s="8"/>
      <c r="P217" s="60"/>
      <c r="R217" s="38" t="s">
        <v>1619</v>
      </c>
      <c r="S217" s="8" t="s">
        <v>1619</v>
      </c>
      <c r="T217" s="8" t="s">
        <v>1618</v>
      </c>
      <c r="U217" s="16" t="s">
        <v>1576</v>
      </c>
      <c r="V217" s="8" t="s">
        <v>1191</v>
      </c>
      <c r="W217" s="8"/>
      <c r="X217" s="8"/>
      <c r="Y217" s="8"/>
      <c r="Z217" s="8"/>
      <c r="AA217" s="8"/>
    </row>
    <row r="218" spans="1:27" ht="78.75">
      <c r="A218" s="8" t="s">
        <v>18</v>
      </c>
      <c r="B218" s="29" t="s">
        <v>54</v>
      </c>
      <c r="C218" s="8" t="s">
        <v>643</v>
      </c>
      <c r="D218" s="8" t="s">
        <v>650</v>
      </c>
      <c r="E218" s="8" t="s">
        <v>651</v>
      </c>
      <c r="F218" s="8"/>
      <c r="G218" s="8" t="s">
        <v>71</v>
      </c>
      <c r="H218" s="8" t="s">
        <v>652</v>
      </c>
      <c r="I218" s="9">
        <v>1</v>
      </c>
      <c r="J218" s="8"/>
      <c r="K218" s="8"/>
      <c r="L218" s="8"/>
      <c r="M218" s="8"/>
      <c r="N218" s="8"/>
      <c r="O218" s="8"/>
      <c r="P218" s="60"/>
      <c r="R218" s="38" t="s">
        <v>1617</v>
      </c>
      <c r="S218" s="8" t="s">
        <v>1616</v>
      </c>
      <c r="T218" s="8" t="s">
        <v>1615</v>
      </c>
      <c r="U218" s="16" t="s">
        <v>1576</v>
      </c>
      <c r="V218" s="8" t="s">
        <v>1191</v>
      </c>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63">
      <c r="A221" s="8" t="s">
        <v>18</v>
      </c>
      <c r="B221" s="29" t="s">
        <v>54</v>
      </c>
      <c r="C221" s="8" t="s">
        <v>660</v>
      </c>
      <c r="D221" s="8" t="s">
        <v>661</v>
      </c>
      <c r="E221" s="8" t="s">
        <v>529</v>
      </c>
      <c r="F221" s="8"/>
      <c r="G221" s="8" t="s">
        <v>62</v>
      </c>
      <c r="H221" s="8" t="s">
        <v>530</v>
      </c>
      <c r="I221" s="8" t="s">
        <v>135</v>
      </c>
      <c r="J221" s="8"/>
      <c r="K221" s="8"/>
      <c r="L221" s="8"/>
      <c r="M221" s="8"/>
      <c r="N221" s="8"/>
      <c r="O221" s="8"/>
      <c r="P221" s="60"/>
      <c r="R221" s="38" t="s">
        <v>1614</v>
      </c>
      <c r="S221" s="8"/>
      <c r="T221" s="8" t="s">
        <v>1613</v>
      </c>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6" t="s">
        <v>253</v>
      </c>
      <c r="F227" s="8"/>
      <c r="G227" s="20" t="s">
        <v>62</v>
      </c>
      <c r="H227" s="20"/>
      <c r="I227" s="22"/>
      <c r="J227" s="20"/>
      <c r="K227" s="20"/>
      <c r="L227" s="20"/>
      <c r="M227" s="20"/>
      <c r="N227" s="20"/>
      <c r="O227" s="20"/>
      <c r="P227" s="20"/>
      <c r="R227" s="39"/>
      <c r="S227" s="20"/>
      <c r="T227" s="20"/>
      <c r="U227" s="16"/>
      <c r="V227" s="20"/>
      <c r="W227" s="20"/>
      <c r="X227" s="20"/>
      <c r="Y227" s="20"/>
      <c r="Z227" s="20"/>
      <c r="AA227" s="20"/>
    </row>
    <row r="228" spans="1:27" ht="82.5"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t="s">
        <v>1612</v>
      </c>
      <c r="S228" s="8" t="s">
        <v>1611</v>
      </c>
      <c r="T228" s="8" t="s">
        <v>1610</v>
      </c>
      <c r="U228" s="8" t="s">
        <v>1576</v>
      </c>
      <c r="V228" s="8" t="s">
        <v>1191</v>
      </c>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126">
      <c r="A234" s="8" t="s">
        <v>18</v>
      </c>
      <c r="B234" s="29" t="s">
        <v>274</v>
      </c>
      <c r="C234" s="8" t="s">
        <v>693</v>
      </c>
      <c r="D234" s="8" t="s">
        <v>698</v>
      </c>
      <c r="E234" s="8" t="s">
        <v>699</v>
      </c>
      <c r="F234" s="8"/>
      <c r="G234" s="8" t="s">
        <v>62</v>
      </c>
      <c r="H234" s="8" t="s">
        <v>700</v>
      </c>
      <c r="I234" s="8" t="s">
        <v>701</v>
      </c>
      <c r="J234" s="8"/>
      <c r="K234" s="8"/>
      <c r="L234" s="8"/>
      <c r="M234" s="8"/>
      <c r="N234" s="8"/>
      <c r="O234" s="8"/>
      <c r="P234" s="60"/>
      <c r="R234" s="38" t="s">
        <v>1609</v>
      </c>
      <c r="S234" s="8" t="s">
        <v>1609</v>
      </c>
      <c r="T234" s="8" t="s">
        <v>1608</v>
      </c>
      <c r="U234" s="16" t="s">
        <v>1576</v>
      </c>
      <c r="V234" s="8" t="s">
        <v>1090</v>
      </c>
      <c r="W234" s="8"/>
      <c r="X234" s="8"/>
      <c r="Y234" s="8"/>
      <c r="Z234" s="8"/>
      <c r="AA234" s="8"/>
    </row>
    <row r="235" spans="1:27" ht="78.75">
      <c r="A235" s="8" t="s">
        <v>18</v>
      </c>
      <c r="B235" s="29" t="s">
        <v>274</v>
      </c>
      <c r="C235" s="8" t="s">
        <v>693</v>
      </c>
      <c r="D235" s="8" t="s">
        <v>702</v>
      </c>
      <c r="E235" s="8" t="s">
        <v>579</v>
      </c>
      <c r="F235" s="8"/>
      <c r="G235" s="8" t="s">
        <v>62</v>
      </c>
      <c r="H235" s="8" t="s">
        <v>703</v>
      </c>
      <c r="I235" s="8" t="s">
        <v>701</v>
      </c>
      <c r="J235" s="8"/>
      <c r="K235" s="8"/>
      <c r="L235" s="8"/>
      <c r="M235" s="8"/>
      <c r="N235" s="8"/>
      <c r="O235" s="8"/>
      <c r="P235" s="60"/>
      <c r="R235" s="38" t="s">
        <v>1607</v>
      </c>
      <c r="S235" s="8" t="s">
        <v>1606</v>
      </c>
      <c r="T235" s="8" t="s">
        <v>1605</v>
      </c>
      <c r="U235" s="16" t="s">
        <v>1576</v>
      </c>
      <c r="V235" s="8" t="s">
        <v>1090</v>
      </c>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315">
      <c r="A237" s="8" t="s">
        <v>18</v>
      </c>
      <c r="B237" s="29" t="s">
        <v>274</v>
      </c>
      <c r="C237" s="8" t="s">
        <v>705</v>
      </c>
      <c r="D237" s="8" t="s">
        <v>706</v>
      </c>
      <c r="E237" s="8" t="s">
        <v>707</v>
      </c>
      <c r="F237" s="8"/>
      <c r="G237" s="8" t="s">
        <v>62</v>
      </c>
      <c r="H237" s="8" t="s">
        <v>708</v>
      </c>
      <c r="I237" s="9">
        <v>1</v>
      </c>
      <c r="J237" s="8"/>
      <c r="K237" s="8"/>
      <c r="L237" s="8"/>
      <c r="M237" s="8"/>
      <c r="N237" s="8"/>
      <c r="O237" s="8"/>
      <c r="P237" s="60"/>
      <c r="R237" s="38" t="s">
        <v>1604</v>
      </c>
      <c r="S237" s="8" t="s">
        <v>1603</v>
      </c>
      <c r="T237" s="8" t="s">
        <v>1602</v>
      </c>
      <c r="U237" s="8" t="s">
        <v>1576</v>
      </c>
      <c r="V237" s="8" t="s">
        <v>1191</v>
      </c>
      <c r="W237" s="8" t="s">
        <v>1364</v>
      </c>
      <c r="X237" s="8" t="s">
        <v>1601</v>
      </c>
      <c r="Y237" s="8"/>
      <c r="Z237" s="8"/>
      <c r="AA237" s="8"/>
    </row>
    <row r="238" spans="1:27" ht="141.75">
      <c r="A238" s="8" t="s">
        <v>18</v>
      </c>
      <c r="B238" s="29" t="s">
        <v>274</v>
      </c>
      <c r="C238" s="8" t="s">
        <v>705</v>
      </c>
      <c r="D238" s="8" t="s">
        <v>709</v>
      </c>
      <c r="E238" s="8" t="s">
        <v>710</v>
      </c>
      <c r="F238" s="8"/>
      <c r="G238" s="8" t="s">
        <v>62</v>
      </c>
      <c r="H238" s="8" t="s">
        <v>711</v>
      </c>
      <c r="I238" s="9">
        <v>1</v>
      </c>
      <c r="J238" s="8"/>
      <c r="K238" s="8"/>
      <c r="L238" s="8"/>
      <c r="M238" s="8"/>
      <c r="N238" s="8"/>
      <c r="O238" s="8"/>
      <c r="P238" s="60"/>
      <c r="R238" s="38" t="s">
        <v>1600</v>
      </c>
      <c r="S238" s="8" t="s">
        <v>1600</v>
      </c>
      <c r="T238" s="8" t="s">
        <v>1599</v>
      </c>
      <c r="U238" s="16" t="s">
        <v>1576</v>
      </c>
      <c r="V238" s="8" t="s">
        <v>1191</v>
      </c>
      <c r="W238" s="8"/>
      <c r="X238" s="8"/>
      <c r="Y238" s="8"/>
      <c r="Z238" s="8"/>
      <c r="AA238" s="8"/>
    </row>
    <row r="239" spans="1:27" ht="267.75">
      <c r="A239" s="8" t="s">
        <v>18</v>
      </c>
      <c r="B239" s="29" t="s">
        <v>274</v>
      </c>
      <c r="C239" s="8" t="s">
        <v>705</v>
      </c>
      <c r="D239" s="8" t="s">
        <v>712</v>
      </c>
      <c r="E239" s="8" t="s">
        <v>713</v>
      </c>
      <c r="F239" s="8"/>
      <c r="G239" s="8" t="s">
        <v>62</v>
      </c>
      <c r="H239" s="8" t="s">
        <v>714</v>
      </c>
      <c r="I239" s="9">
        <v>1</v>
      </c>
      <c r="J239" s="8"/>
      <c r="K239" s="8"/>
      <c r="L239" s="8"/>
      <c r="M239" s="8"/>
      <c r="N239" s="8"/>
      <c r="O239" s="8"/>
      <c r="P239" s="60"/>
      <c r="R239" s="38" t="s">
        <v>1598</v>
      </c>
      <c r="S239" s="8" t="s">
        <v>1597</v>
      </c>
      <c r="T239" s="8" t="s">
        <v>1596</v>
      </c>
      <c r="U239" s="16" t="s">
        <v>1576</v>
      </c>
      <c r="V239" s="8" t="s">
        <v>8</v>
      </c>
      <c r="W239" s="8" t="s">
        <v>1595</v>
      </c>
      <c r="X239" s="8"/>
      <c r="Y239" s="8" t="s">
        <v>1594</v>
      </c>
      <c r="Z239" s="8" t="s">
        <v>1593</v>
      </c>
      <c r="AA239" s="8" t="s">
        <v>1592</v>
      </c>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56.25"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63" hidden="1">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c r="S258" s="8"/>
      <c r="T258" s="8"/>
      <c r="U258" s="8"/>
      <c r="V258" s="8"/>
      <c r="W258" s="8"/>
      <c r="X258" s="8"/>
      <c r="Y258" s="8"/>
      <c r="Z258" s="8"/>
      <c r="AA258" s="8"/>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c r="S260" s="8"/>
      <c r="T260" s="8"/>
      <c r="U260" s="8"/>
      <c r="V260" s="8"/>
      <c r="W260" s="8"/>
      <c r="X260" s="8"/>
      <c r="Y260" s="8"/>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hidden="1">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c r="S265" s="8"/>
      <c r="T265" s="8"/>
      <c r="U265" s="8"/>
      <c r="V265" s="8"/>
      <c r="W265" s="8"/>
      <c r="X265" s="8"/>
      <c r="Y265" s="8"/>
      <c r="Z265" s="8"/>
      <c r="AA265" s="8"/>
    </row>
    <row r="266" spans="1:27" ht="31.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157.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204.75">
      <c r="A271" s="8" t="s">
        <v>20</v>
      </c>
      <c r="B271" s="31" t="s">
        <v>54</v>
      </c>
      <c r="C271" s="8" t="s">
        <v>774</v>
      </c>
      <c r="D271" s="8" t="s">
        <v>787</v>
      </c>
      <c r="E271" s="8" t="s">
        <v>788</v>
      </c>
      <c r="F271" s="8"/>
      <c r="G271" s="8" t="s">
        <v>62</v>
      </c>
      <c r="H271" s="8" t="s">
        <v>789</v>
      </c>
      <c r="I271" s="9">
        <v>1</v>
      </c>
      <c r="J271" s="8"/>
      <c r="K271" s="8"/>
      <c r="L271" s="8"/>
      <c r="M271" s="8"/>
      <c r="N271" s="8"/>
      <c r="O271" s="8"/>
      <c r="P271" s="60"/>
      <c r="R271" s="38" t="s">
        <v>1591</v>
      </c>
      <c r="S271" s="8" t="s">
        <v>1590</v>
      </c>
      <c r="T271" s="8" t="s">
        <v>1589</v>
      </c>
      <c r="U271" s="8" t="s">
        <v>1576</v>
      </c>
      <c r="V271" s="8" t="s">
        <v>1191</v>
      </c>
      <c r="W271" s="8" t="s">
        <v>1364</v>
      </c>
      <c r="X271" s="8"/>
      <c r="Y271" s="8" t="s">
        <v>1588</v>
      </c>
      <c r="Z271" s="8"/>
      <c r="AA271" s="8"/>
    </row>
    <row r="272" spans="1:27" ht="126">
      <c r="A272" s="8" t="s">
        <v>20</v>
      </c>
      <c r="B272" s="31" t="s">
        <v>54</v>
      </c>
      <c r="C272" s="8" t="s">
        <v>774</v>
      </c>
      <c r="D272" s="8" t="s">
        <v>790</v>
      </c>
      <c r="E272" s="8" t="s">
        <v>791</v>
      </c>
      <c r="F272" s="8"/>
      <c r="G272" s="8" t="s">
        <v>62</v>
      </c>
      <c r="H272" s="8" t="s">
        <v>789</v>
      </c>
      <c r="I272" s="9">
        <v>1</v>
      </c>
      <c r="J272" s="8"/>
      <c r="K272" s="8"/>
      <c r="L272" s="8"/>
      <c r="M272" s="8"/>
      <c r="N272" s="8"/>
      <c r="O272" s="8"/>
      <c r="P272" s="60"/>
      <c r="R272" s="38" t="s">
        <v>1587</v>
      </c>
      <c r="S272" s="8" t="s">
        <v>1586</v>
      </c>
      <c r="T272" s="8"/>
      <c r="U272" s="8" t="s">
        <v>1576</v>
      </c>
      <c r="V272" s="8" t="s">
        <v>1191</v>
      </c>
      <c r="W272" s="8" t="s">
        <v>1479</v>
      </c>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63"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94.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c r="A281" s="8" t="s">
        <v>20</v>
      </c>
      <c r="B281" s="29" t="s">
        <v>195</v>
      </c>
      <c r="C281" s="8" t="s">
        <v>815</v>
      </c>
      <c r="D281" s="8" t="s">
        <v>816</v>
      </c>
      <c r="E281" s="8" t="s">
        <v>253</v>
      </c>
      <c r="F281" s="8"/>
      <c r="G281" s="8" t="s">
        <v>62</v>
      </c>
      <c r="H281" s="8" t="s">
        <v>254</v>
      </c>
      <c r="I281" s="9">
        <v>1</v>
      </c>
      <c r="J281" s="8"/>
      <c r="K281" s="8"/>
      <c r="L281" s="8"/>
      <c r="M281" s="8"/>
      <c r="N281" s="8"/>
      <c r="O281" s="8"/>
      <c r="P281" s="60"/>
      <c r="R281" s="38" t="s">
        <v>1585</v>
      </c>
      <c r="S281" s="8"/>
      <c r="T281" s="8"/>
      <c r="U281" s="8"/>
      <c r="V281" s="8"/>
      <c r="W281" s="8"/>
      <c r="X281" s="8"/>
      <c r="Y281" s="8"/>
      <c r="Z281" s="8"/>
      <c r="AA281" s="8"/>
    </row>
    <row r="282" spans="1:27" ht="189"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56.25"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56.25"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78.7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63"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189">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t="s">
        <v>1584</v>
      </c>
      <c r="S323" s="8" t="s">
        <v>1584</v>
      </c>
      <c r="T323" s="8" t="s">
        <v>1583</v>
      </c>
      <c r="U323" s="8" t="s">
        <v>1576</v>
      </c>
      <c r="V323" s="8" t="s">
        <v>8</v>
      </c>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75"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t="s">
        <v>1582</v>
      </c>
      <c r="S330" s="8"/>
      <c r="T330" s="8"/>
      <c r="U330" s="8" t="s">
        <v>1576</v>
      </c>
      <c r="V330" s="8"/>
      <c r="W330" s="8"/>
      <c r="X330" s="8"/>
      <c r="Y330" s="8"/>
      <c r="Z330" s="8"/>
      <c r="AA330" s="8"/>
    </row>
    <row r="331" spans="1:51" ht="5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t="s">
        <v>1581</v>
      </c>
      <c r="S331" s="8" t="s">
        <v>1580</v>
      </c>
      <c r="T331" s="8" t="s">
        <v>1579</v>
      </c>
      <c r="U331" s="8" t="s">
        <v>1576</v>
      </c>
      <c r="V331" s="8" t="s">
        <v>1191</v>
      </c>
      <c r="W331" s="8">
        <v>2023</v>
      </c>
      <c r="X331" s="8" t="s">
        <v>9</v>
      </c>
      <c r="Y331" s="8" t="s">
        <v>1578</v>
      </c>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31.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75"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75"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56.25"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56.25"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75"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31.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75"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t="s">
        <v>1577</v>
      </c>
      <c r="S404" s="8"/>
      <c r="T404" s="8"/>
      <c r="U404" s="8" t="s">
        <v>1576</v>
      </c>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56.25"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56.25"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63"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75"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75"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47.25"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56.25"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C5C95E1B-38D2-4226-92F2-91540672C620}">
    <filterColumn colId="17">
      <customFilters>
        <customFilter operator="notEqual" val=" "/>
      </customFilters>
    </filterColumn>
  </autoFilter>
  <dataValidations count="1">
    <dataValidation type="textLength" operator="lessThan" allowBlank="1" showInputMessage="1" showErrorMessage="1" sqref="P1:P432 AA1:AA432" xr:uid="{4D0A048B-552F-485D-96F6-C9BA94571965}">
      <formula1>256</formula1>
    </dataValidation>
  </dataValidations>
  <printOptions headings="1"/>
  <pageMargins left="0.23622047244094491" right="0.23622047244094491" top="0.74803149606299213" bottom="0.74803149606299213" header="0.31496062992125984" footer="0.31496062992125984"/>
  <pageSetup paperSize="8" scale="8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B6CA5-704F-4078-BB8F-9CA85021C22E}">
  <sheetPr filterMode="1"/>
  <dimension ref="A1:AY597"/>
  <sheetViews>
    <sheetView zoomScale="55" zoomScaleNormal="55" workbookViewId="0">
      <selection activeCell="R321" sqref="R321"/>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30.75">
      <c r="A4" s="8" t="s">
        <v>53</v>
      </c>
      <c r="B4" s="29" t="s">
        <v>54</v>
      </c>
      <c r="C4" s="8" t="s">
        <v>55</v>
      </c>
      <c r="D4" s="8" t="s">
        <v>60</v>
      </c>
      <c r="E4" s="69" t="s">
        <v>61</v>
      </c>
      <c r="F4" s="8"/>
      <c r="G4" s="8" t="s">
        <v>62</v>
      </c>
      <c r="H4" s="8" t="s">
        <v>59</v>
      </c>
      <c r="I4" s="9">
        <v>1</v>
      </c>
      <c r="J4" s="9"/>
      <c r="K4" s="9"/>
      <c r="L4" s="9"/>
      <c r="M4" s="9"/>
      <c r="N4" s="9"/>
      <c r="O4" s="9"/>
      <c r="P4" s="60"/>
      <c r="Q4" s="47"/>
      <c r="R4" s="37" t="s">
        <v>4013</v>
      </c>
      <c r="S4" s="9" t="s">
        <v>4014</v>
      </c>
      <c r="T4" s="9" t="s">
        <v>4015</v>
      </c>
      <c r="U4" s="9" t="s">
        <v>4016</v>
      </c>
      <c r="V4" s="9" t="s">
        <v>4017</v>
      </c>
      <c r="W4" s="9" t="s">
        <v>4018</v>
      </c>
      <c r="X4" s="9" t="s">
        <v>4019</v>
      </c>
      <c r="Y4" s="9" t="s">
        <v>4020</v>
      </c>
      <c r="Z4" s="9"/>
      <c r="AA4" s="8" t="s">
        <v>4021</v>
      </c>
    </row>
    <row r="5" spans="1:27" ht="330.75">
      <c r="A5" s="8" t="s">
        <v>53</v>
      </c>
      <c r="B5" s="29" t="s">
        <v>54</v>
      </c>
      <c r="C5" s="8" t="s">
        <v>55</v>
      </c>
      <c r="D5" s="8" t="s">
        <v>63</v>
      </c>
      <c r="E5" s="69" t="s">
        <v>64</v>
      </c>
      <c r="F5" s="8"/>
      <c r="G5" s="8" t="s">
        <v>62</v>
      </c>
      <c r="H5" s="8" t="s">
        <v>59</v>
      </c>
      <c r="I5" s="9">
        <v>1</v>
      </c>
      <c r="J5" s="9"/>
      <c r="K5" s="9"/>
      <c r="L5" s="9"/>
      <c r="M5" s="9"/>
      <c r="N5" s="9"/>
      <c r="O5" s="9"/>
      <c r="P5" s="60"/>
      <c r="Q5" s="47"/>
      <c r="R5" s="37" t="s">
        <v>4013</v>
      </c>
      <c r="S5" s="9" t="s">
        <v>4014</v>
      </c>
      <c r="T5" s="9" t="s">
        <v>4015</v>
      </c>
      <c r="U5" s="9" t="s">
        <v>4016</v>
      </c>
      <c r="V5" s="9" t="s">
        <v>4017</v>
      </c>
      <c r="W5" s="9" t="s">
        <v>4018</v>
      </c>
      <c r="X5" s="9" t="s">
        <v>4019</v>
      </c>
      <c r="Y5" s="9" t="s">
        <v>4020</v>
      </c>
      <c r="Z5" s="9"/>
      <c r="AA5" s="8" t="s">
        <v>4021</v>
      </c>
    </row>
    <row r="6" spans="1:27" ht="330.75">
      <c r="A6" s="8" t="s">
        <v>53</v>
      </c>
      <c r="B6" s="29" t="s">
        <v>54</v>
      </c>
      <c r="C6" s="8" t="s">
        <v>55</v>
      </c>
      <c r="D6" s="8" t="s">
        <v>65</v>
      </c>
      <c r="E6" s="69" t="s">
        <v>66</v>
      </c>
      <c r="F6" s="8"/>
      <c r="G6" s="8" t="s">
        <v>62</v>
      </c>
      <c r="H6" s="8" t="s">
        <v>59</v>
      </c>
      <c r="I6" s="9">
        <v>1</v>
      </c>
      <c r="J6" s="9"/>
      <c r="K6" s="9"/>
      <c r="L6" s="9"/>
      <c r="M6" s="9"/>
      <c r="N6" s="9"/>
      <c r="O6" s="9"/>
      <c r="P6" s="60"/>
      <c r="Q6" s="47"/>
      <c r="R6" s="37" t="s">
        <v>4013</v>
      </c>
      <c r="S6" s="9" t="s">
        <v>4014</v>
      </c>
      <c r="T6" s="9" t="s">
        <v>4015</v>
      </c>
      <c r="U6" s="9" t="s">
        <v>4016</v>
      </c>
      <c r="V6" s="9" t="s">
        <v>4017</v>
      </c>
      <c r="W6" s="9" t="s">
        <v>4018</v>
      </c>
      <c r="X6" s="9" t="s">
        <v>4019</v>
      </c>
      <c r="Y6" s="9" t="s">
        <v>4020</v>
      </c>
      <c r="Z6" s="9"/>
      <c r="AA6" s="8" t="s">
        <v>4021</v>
      </c>
    </row>
    <row r="7" spans="1:27" ht="330.75">
      <c r="A7" s="8" t="s">
        <v>53</v>
      </c>
      <c r="B7" s="29" t="s">
        <v>54</v>
      </c>
      <c r="C7" s="8" t="s">
        <v>55</v>
      </c>
      <c r="D7" s="8" t="s">
        <v>67</v>
      </c>
      <c r="E7" s="69" t="s">
        <v>68</v>
      </c>
      <c r="F7" s="8"/>
      <c r="G7" s="8" t="s">
        <v>62</v>
      </c>
      <c r="H7" s="8" t="s">
        <v>59</v>
      </c>
      <c r="I7" s="9">
        <v>1</v>
      </c>
      <c r="J7" s="9"/>
      <c r="K7" s="9"/>
      <c r="L7" s="9"/>
      <c r="M7" s="9"/>
      <c r="N7" s="9"/>
      <c r="O7" s="9"/>
      <c r="P7" s="60"/>
      <c r="Q7" s="47"/>
      <c r="R7" s="37" t="s">
        <v>4013</v>
      </c>
      <c r="S7" s="9" t="s">
        <v>4014</v>
      </c>
      <c r="T7" s="9" t="s">
        <v>4015</v>
      </c>
      <c r="U7" s="9" t="s">
        <v>4016</v>
      </c>
      <c r="V7" s="9" t="s">
        <v>4017</v>
      </c>
      <c r="W7" s="9" t="s">
        <v>4018</v>
      </c>
      <c r="X7" s="9" t="s">
        <v>4019</v>
      </c>
      <c r="Y7" s="9" t="s">
        <v>4020</v>
      </c>
      <c r="Z7" s="9"/>
      <c r="AA7" s="8" t="s">
        <v>4021</v>
      </c>
    </row>
    <row r="8" spans="1:27" ht="63" hidden="1">
      <c r="A8" s="8" t="s">
        <v>53</v>
      </c>
      <c r="B8" s="29" t="s">
        <v>54</v>
      </c>
      <c r="C8" s="8" t="s">
        <v>55</v>
      </c>
      <c r="D8" s="8" t="s">
        <v>69</v>
      </c>
      <c r="E8" s="8" t="s">
        <v>70</v>
      </c>
      <c r="F8" s="8"/>
      <c r="G8" s="8" t="s">
        <v>71</v>
      </c>
      <c r="H8" s="8" t="s">
        <v>72</v>
      </c>
      <c r="I8" s="8" t="s">
        <v>73</v>
      </c>
      <c r="J8" s="8"/>
      <c r="K8" s="8"/>
      <c r="L8" s="8"/>
      <c r="M8" s="8"/>
      <c r="N8" s="8"/>
      <c r="O8" s="8"/>
      <c r="P8" s="60"/>
      <c r="R8" s="38"/>
      <c r="S8" s="8"/>
      <c r="T8" s="8"/>
      <c r="U8" s="8"/>
      <c r="V8" s="8"/>
      <c r="W8" s="8"/>
      <c r="X8" s="8"/>
      <c r="Y8" s="8"/>
      <c r="Z8" s="8"/>
      <c r="AA8" s="8"/>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hidden="1">
      <c r="A12" s="8" t="s">
        <v>53</v>
      </c>
      <c r="B12" s="29" t="s">
        <v>54</v>
      </c>
      <c r="C12" s="8" t="s">
        <v>81</v>
      </c>
      <c r="D12" s="8" t="s">
        <v>86</v>
      </c>
      <c r="E12" s="69" t="s">
        <v>87</v>
      </c>
      <c r="F12" s="8"/>
      <c r="G12" s="8" t="s">
        <v>62</v>
      </c>
      <c r="H12" s="8" t="s">
        <v>84</v>
      </c>
      <c r="I12" s="8" t="s">
        <v>85</v>
      </c>
      <c r="J12" s="8"/>
      <c r="K12" s="8"/>
      <c r="L12" s="8"/>
      <c r="M12" s="8"/>
      <c r="N12" s="8"/>
      <c r="O12" s="8"/>
      <c r="P12" s="60"/>
      <c r="R12" s="38"/>
      <c r="S12" s="8"/>
      <c r="T12" s="8"/>
      <c r="U12" s="8"/>
      <c r="V12" s="8"/>
      <c r="W12" s="8"/>
      <c r="X12" s="8"/>
      <c r="Y12" s="8"/>
      <c r="Z12" s="8"/>
      <c r="AA12" s="8"/>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63" hidden="1">
      <c r="A14" s="8" t="s">
        <v>53</v>
      </c>
      <c r="B14" s="29" t="s">
        <v>54</v>
      </c>
      <c r="C14" s="8" t="s">
        <v>81</v>
      </c>
      <c r="D14" s="8" t="s">
        <v>90</v>
      </c>
      <c r="E14" s="69" t="s">
        <v>91</v>
      </c>
      <c r="F14" s="8"/>
      <c r="G14" s="8" t="s">
        <v>62</v>
      </c>
      <c r="H14" s="8" t="s">
        <v>84</v>
      </c>
      <c r="I14" s="8" t="s">
        <v>85</v>
      </c>
      <c r="J14" s="8"/>
      <c r="K14" s="8"/>
      <c r="L14" s="8"/>
      <c r="M14" s="8"/>
      <c r="N14" s="8"/>
      <c r="O14" s="8"/>
      <c r="P14" s="60"/>
      <c r="R14" s="38"/>
      <c r="S14" s="8"/>
      <c r="T14" s="8"/>
      <c r="U14" s="8"/>
      <c r="V14" s="8"/>
      <c r="W14" s="8"/>
      <c r="X14" s="8"/>
      <c r="Y14" s="8"/>
      <c r="Z14" s="8"/>
      <c r="AA14" s="8"/>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hidden="1" customHeight="1">
      <c r="A21" s="8" t="s">
        <v>53</v>
      </c>
      <c r="B21" s="29" t="s">
        <v>54</v>
      </c>
      <c r="C21" s="8" t="s">
        <v>81</v>
      </c>
      <c r="D21" s="8" t="s">
        <v>104</v>
      </c>
      <c r="E21" s="8" t="s">
        <v>105</v>
      </c>
      <c r="F21" s="8"/>
      <c r="G21" s="8" t="s">
        <v>62</v>
      </c>
      <c r="H21" s="8" t="s">
        <v>106</v>
      </c>
      <c r="I21" s="9">
        <v>1</v>
      </c>
      <c r="J21" s="9"/>
      <c r="K21" s="11"/>
      <c r="L21" s="9"/>
      <c r="M21" s="9"/>
      <c r="N21" s="9"/>
      <c r="O21" s="9"/>
      <c r="P21" s="60"/>
      <c r="Q21" s="47"/>
      <c r="R21" s="37"/>
      <c r="S21" s="9"/>
      <c r="T21" s="9"/>
      <c r="U21" s="9"/>
      <c r="V21" s="9"/>
      <c r="W21" s="9"/>
      <c r="X21" s="9"/>
      <c r="Y21" s="9"/>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330.75">
      <c r="A156" s="8" t="s">
        <v>16</v>
      </c>
      <c r="B156" s="29" t="s">
        <v>54</v>
      </c>
      <c r="C156" s="8" t="s">
        <v>481</v>
      </c>
      <c r="D156" s="8" t="s">
        <v>482</v>
      </c>
      <c r="E156" s="8" t="s">
        <v>483</v>
      </c>
      <c r="F156" s="8"/>
      <c r="G156" s="8" t="s">
        <v>62</v>
      </c>
      <c r="H156" s="8" t="s">
        <v>484</v>
      </c>
      <c r="I156" s="8" t="s">
        <v>485</v>
      </c>
      <c r="J156" s="8"/>
      <c r="K156" s="8"/>
      <c r="L156" s="8"/>
      <c r="M156" s="8"/>
      <c r="N156" s="8"/>
      <c r="O156" s="8"/>
      <c r="P156" s="60"/>
      <c r="R156" s="37" t="s">
        <v>4013</v>
      </c>
      <c r="S156" s="9" t="s">
        <v>4014</v>
      </c>
      <c r="T156" s="9" t="s">
        <v>4015</v>
      </c>
      <c r="U156" s="9" t="s">
        <v>4016</v>
      </c>
      <c r="V156" s="9" t="s">
        <v>4017</v>
      </c>
      <c r="W156" s="9" t="s">
        <v>4018</v>
      </c>
      <c r="X156" s="9" t="s">
        <v>4019</v>
      </c>
      <c r="Y156" s="9" t="s">
        <v>4020</v>
      </c>
      <c r="Z156" s="9"/>
      <c r="AA156" s="8" t="s">
        <v>4021</v>
      </c>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409.5">
      <c r="A178" s="8" t="s">
        <v>16</v>
      </c>
      <c r="B178" s="29" t="s">
        <v>195</v>
      </c>
      <c r="C178" s="8" t="s">
        <v>543</v>
      </c>
      <c r="D178" s="8" t="s">
        <v>545</v>
      </c>
      <c r="E178" s="69" t="s">
        <v>546</v>
      </c>
      <c r="F178" s="8"/>
      <c r="G178" s="8" t="s">
        <v>62</v>
      </c>
      <c r="H178" s="8" t="s">
        <v>254</v>
      </c>
      <c r="I178" s="9">
        <v>1</v>
      </c>
      <c r="J178" s="8"/>
      <c r="K178" s="8"/>
      <c r="L178" s="8"/>
      <c r="M178" s="8"/>
      <c r="N178" s="8"/>
      <c r="O178" s="8"/>
      <c r="P178" s="60"/>
      <c r="R178" s="38" t="s">
        <v>4038</v>
      </c>
      <c r="S178" s="8" t="s">
        <v>4039</v>
      </c>
      <c r="T178" s="8" t="s">
        <v>4040</v>
      </c>
      <c r="U178" s="8" t="s">
        <v>4041</v>
      </c>
      <c r="V178" s="8" t="s">
        <v>4042</v>
      </c>
      <c r="W178" s="8" t="s">
        <v>4026</v>
      </c>
      <c r="X178" s="8" t="s">
        <v>4034</v>
      </c>
      <c r="Y178" s="8" t="s">
        <v>4043</v>
      </c>
      <c r="Z178" s="8" t="s">
        <v>4044</v>
      </c>
      <c r="AA178" s="8" t="s">
        <v>4045</v>
      </c>
    </row>
    <row r="179" spans="1:51" ht="409.5">
      <c r="A179" s="8" t="s">
        <v>16</v>
      </c>
      <c r="B179" s="29" t="s">
        <v>195</v>
      </c>
      <c r="C179" s="8" t="s">
        <v>543</v>
      </c>
      <c r="D179" s="8" t="s">
        <v>547</v>
      </c>
      <c r="E179" s="69" t="s">
        <v>548</v>
      </c>
      <c r="F179" s="8"/>
      <c r="G179" s="8" t="s">
        <v>58</v>
      </c>
      <c r="H179" s="8" t="s">
        <v>549</v>
      </c>
      <c r="I179" s="8" t="s">
        <v>210</v>
      </c>
      <c r="J179" s="8"/>
      <c r="K179" s="8"/>
      <c r="L179" s="8"/>
      <c r="M179" s="8"/>
      <c r="N179" s="8"/>
      <c r="O179" s="8"/>
      <c r="P179" s="60"/>
      <c r="R179" s="38" t="s">
        <v>4038</v>
      </c>
      <c r="S179" s="8" t="s">
        <v>4039</v>
      </c>
      <c r="T179" s="8" t="s">
        <v>4040</v>
      </c>
      <c r="U179" s="8" t="s">
        <v>4041</v>
      </c>
      <c r="V179" s="8" t="s">
        <v>4042</v>
      </c>
      <c r="W179" s="8" t="s">
        <v>4026</v>
      </c>
      <c r="X179" s="8" t="s">
        <v>4034</v>
      </c>
      <c r="Y179" s="8" t="s">
        <v>4043</v>
      </c>
      <c r="Z179" s="8" t="s">
        <v>4044</v>
      </c>
      <c r="AA179" s="8" t="s">
        <v>4045</v>
      </c>
    </row>
    <row r="180" spans="1:51" ht="409.5">
      <c r="A180" s="8" t="s">
        <v>16</v>
      </c>
      <c r="B180" s="29" t="s">
        <v>195</v>
      </c>
      <c r="C180" s="8" t="s">
        <v>543</v>
      </c>
      <c r="D180" s="8" t="s">
        <v>550</v>
      </c>
      <c r="E180" s="69" t="s">
        <v>551</v>
      </c>
      <c r="F180" s="8"/>
      <c r="G180" s="8" t="s">
        <v>58</v>
      </c>
      <c r="H180" s="8" t="s">
        <v>552</v>
      </c>
      <c r="I180" s="8" t="s">
        <v>210</v>
      </c>
      <c r="J180" s="8"/>
      <c r="K180" s="8"/>
      <c r="L180" s="8"/>
      <c r="M180" s="8"/>
      <c r="N180" s="8"/>
      <c r="O180" s="8"/>
      <c r="P180" s="60"/>
      <c r="R180" s="38" t="s">
        <v>4038</v>
      </c>
      <c r="S180" s="8" t="s">
        <v>4039</v>
      </c>
      <c r="T180" s="8" t="s">
        <v>4040</v>
      </c>
      <c r="U180" s="8" t="s">
        <v>4041</v>
      </c>
      <c r="V180" s="8" t="s">
        <v>4042</v>
      </c>
      <c r="W180" s="8" t="s">
        <v>4026</v>
      </c>
      <c r="X180" s="8" t="s">
        <v>4034</v>
      </c>
      <c r="Y180" s="8" t="s">
        <v>4043</v>
      </c>
      <c r="Z180" s="8" t="s">
        <v>4044</v>
      </c>
      <c r="AA180" s="8" t="s">
        <v>4045</v>
      </c>
    </row>
    <row r="181" spans="1:51" ht="409.5">
      <c r="A181" s="8" t="s">
        <v>16</v>
      </c>
      <c r="B181" s="29" t="s">
        <v>195</v>
      </c>
      <c r="C181" s="8" t="s">
        <v>543</v>
      </c>
      <c r="D181" s="8" t="s">
        <v>553</v>
      </c>
      <c r="E181" s="8" t="s">
        <v>554</v>
      </c>
      <c r="F181" s="8"/>
      <c r="G181" s="8" t="s">
        <v>62</v>
      </c>
      <c r="H181" s="8" t="s">
        <v>555</v>
      </c>
      <c r="I181" s="9">
        <v>1</v>
      </c>
      <c r="J181" s="8"/>
      <c r="K181" s="8"/>
      <c r="L181" s="8"/>
      <c r="M181" s="8"/>
      <c r="N181" s="8"/>
      <c r="O181" s="8"/>
      <c r="P181" s="60"/>
      <c r="R181" s="38" t="s">
        <v>4038</v>
      </c>
      <c r="S181" s="8" t="s">
        <v>4039</v>
      </c>
      <c r="T181" s="8" t="s">
        <v>4040</v>
      </c>
      <c r="U181" s="8" t="s">
        <v>4041</v>
      </c>
      <c r="V181" s="8" t="s">
        <v>4042</v>
      </c>
      <c r="W181" s="8" t="s">
        <v>4026</v>
      </c>
      <c r="X181" s="8" t="s">
        <v>4034</v>
      </c>
      <c r="Y181" s="8" t="s">
        <v>4043</v>
      </c>
      <c r="Z181" s="8" t="s">
        <v>4044</v>
      </c>
      <c r="AA181" s="8" t="s">
        <v>4045</v>
      </c>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220.5">
      <c r="A185" s="8" t="s">
        <v>16</v>
      </c>
      <c r="B185" s="29" t="s">
        <v>274</v>
      </c>
      <c r="C185" s="8" t="s">
        <v>562</v>
      </c>
      <c r="D185" s="8" t="s">
        <v>565</v>
      </c>
      <c r="E185" s="69" t="s">
        <v>566</v>
      </c>
      <c r="F185" s="8"/>
      <c r="G185" s="8" t="s">
        <v>62</v>
      </c>
      <c r="H185" s="8" t="s">
        <v>567</v>
      </c>
      <c r="I185" s="9">
        <v>1</v>
      </c>
      <c r="J185" s="8"/>
      <c r="K185" s="8"/>
      <c r="L185" s="8"/>
      <c r="M185" s="8"/>
      <c r="N185" s="8"/>
      <c r="O185" s="8"/>
      <c r="P185" s="60"/>
      <c r="R185" s="38" t="s">
        <v>4030</v>
      </c>
      <c r="S185" s="8" t="s">
        <v>4031</v>
      </c>
      <c r="T185" s="8" t="s">
        <v>4032</v>
      </c>
      <c r="U185" s="8" t="s">
        <v>4024</v>
      </c>
      <c r="V185" s="8" t="s">
        <v>4033</v>
      </c>
      <c r="W185" s="8" t="s">
        <v>4026</v>
      </c>
      <c r="X185" s="8" t="s">
        <v>4034</v>
      </c>
      <c r="Y185" s="8" t="s">
        <v>4035</v>
      </c>
      <c r="Z185" s="8" t="s">
        <v>4036</v>
      </c>
      <c r="AA185" s="8" t="s">
        <v>4037</v>
      </c>
    </row>
    <row r="186" spans="1:51" ht="210">
      <c r="A186" s="8" t="s">
        <v>16</v>
      </c>
      <c r="B186" s="29" t="s">
        <v>274</v>
      </c>
      <c r="C186" s="8" t="s">
        <v>562</v>
      </c>
      <c r="D186" s="8" t="s">
        <v>568</v>
      </c>
      <c r="E186" s="69" t="s">
        <v>569</v>
      </c>
      <c r="F186" s="8"/>
      <c r="G186" s="8" t="s">
        <v>62</v>
      </c>
      <c r="H186" s="8" t="s">
        <v>570</v>
      </c>
      <c r="I186" s="9">
        <v>1</v>
      </c>
      <c r="J186" s="8"/>
      <c r="K186" s="8"/>
      <c r="L186" s="8"/>
      <c r="M186" s="8"/>
      <c r="N186" s="8"/>
      <c r="O186" s="8"/>
      <c r="P186" s="60"/>
      <c r="R186" s="3" t="s">
        <v>4030</v>
      </c>
      <c r="S186" s="592" t="s">
        <v>4031</v>
      </c>
      <c r="T186" s="3" t="s">
        <v>4032</v>
      </c>
      <c r="U186" s="3" t="s">
        <v>4024</v>
      </c>
      <c r="V186" s="3" t="s">
        <v>4033</v>
      </c>
      <c r="W186" s="592" t="s">
        <v>4026</v>
      </c>
      <c r="X186" s="3" t="s">
        <v>4034</v>
      </c>
      <c r="Y186" s="3" t="s">
        <v>4035</v>
      </c>
      <c r="Z186" s="3" t="s">
        <v>4036</v>
      </c>
      <c r="AA186" s="3" t="s">
        <v>4037</v>
      </c>
    </row>
    <row r="187" spans="1:51" ht="409.5">
      <c r="A187" s="8" t="s">
        <v>16</v>
      </c>
      <c r="B187" s="29" t="s">
        <v>274</v>
      </c>
      <c r="C187" s="8" t="s">
        <v>571</v>
      </c>
      <c r="D187" s="8" t="s">
        <v>572</v>
      </c>
      <c r="E187" s="8" t="s">
        <v>573</v>
      </c>
      <c r="F187" s="8"/>
      <c r="G187" s="8" t="s">
        <v>62</v>
      </c>
      <c r="H187" s="8" t="s">
        <v>574</v>
      </c>
      <c r="I187" s="9">
        <v>1</v>
      </c>
      <c r="J187" s="8"/>
      <c r="K187" s="8"/>
      <c r="L187" s="8"/>
      <c r="M187" s="8"/>
      <c r="N187" s="8"/>
      <c r="O187" s="8"/>
      <c r="P187" s="60"/>
      <c r="R187" s="38" t="s">
        <v>4022</v>
      </c>
      <c r="S187" s="8" t="s">
        <v>4029</v>
      </c>
      <c r="T187" s="8" t="s">
        <v>4023</v>
      </c>
      <c r="U187" s="8" t="s">
        <v>4024</v>
      </c>
      <c r="V187" s="8" t="s">
        <v>4025</v>
      </c>
      <c r="W187" s="8" t="s">
        <v>4026</v>
      </c>
      <c r="X187" s="8" t="s">
        <v>4027</v>
      </c>
      <c r="Y187" s="8" t="s">
        <v>4028</v>
      </c>
      <c r="Z187" s="8"/>
      <c r="AA187" s="8" t="s">
        <v>4021</v>
      </c>
    </row>
    <row r="188" spans="1:51" ht="409.5">
      <c r="A188" s="8" t="s">
        <v>16</v>
      </c>
      <c r="B188" s="29" t="s">
        <v>274</v>
      </c>
      <c r="C188" s="8" t="s">
        <v>571</v>
      </c>
      <c r="D188" s="8" t="s">
        <v>575</v>
      </c>
      <c r="E188" s="8" t="s">
        <v>576</v>
      </c>
      <c r="F188" s="8"/>
      <c r="G188" s="8" t="s">
        <v>62</v>
      </c>
      <c r="H188" s="8" t="s">
        <v>577</v>
      </c>
      <c r="I188" s="9">
        <v>1</v>
      </c>
      <c r="J188" s="8"/>
      <c r="K188" s="8"/>
      <c r="L188" s="8"/>
      <c r="M188" s="8"/>
      <c r="N188" s="8"/>
      <c r="O188" s="8"/>
      <c r="P188" s="60"/>
      <c r="R188" s="38" t="s">
        <v>4022</v>
      </c>
      <c r="S188" s="8" t="s">
        <v>4029</v>
      </c>
      <c r="T188" s="8" t="s">
        <v>4023</v>
      </c>
      <c r="U188" s="8" t="s">
        <v>4024</v>
      </c>
      <c r="V188" s="8" t="s">
        <v>4025</v>
      </c>
      <c r="W188" s="8" t="s">
        <v>4026</v>
      </c>
      <c r="X188" s="8" t="s">
        <v>4027</v>
      </c>
      <c r="Y188" s="8" t="s">
        <v>4028</v>
      </c>
      <c r="Z188" s="8"/>
      <c r="AA188" s="8" t="s">
        <v>4021</v>
      </c>
    </row>
    <row r="189" spans="1:51" ht="409.5">
      <c r="A189" s="8" t="s">
        <v>16</v>
      </c>
      <c r="B189" s="29" t="s">
        <v>274</v>
      </c>
      <c r="C189" s="8" t="s">
        <v>571</v>
      </c>
      <c r="D189" s="8" t="s">
        <v>578</v>
      </c>
      <c r="E189" s="8" t="s">
        <v>579</v>
      </c>
      <c r="F189" s="8"/>
      <c r="G189" s="8" t="s">
        <v>62</v>
      </c>
      <c r="H189" s="8" t="s">
        <v>580</v>
      </c>
      <c r="I189" s="9">
        <v>1</v>
      </c>
      <c r="J189" s="8"/>
      <c r="K189" s="8"/>
      <c r="L189" s="8"/>
      <c r="M189" s="8"/>
      <c r="N189" s="8"/>
      <c r="O189" s="8"/>
      <c r="P189" s="60"/>
      <c r="R189" s="38" t="s">
        <v>4038</v>
      </c>
      <c r="S189" s="8" t="s">
        <v>4039</v>
      </c>
      <c r="T189" s="8" t="s">
        <v>4040</v>
      </c>
      <c r="U189" s="8" t="s">
        <v>4041</v>
      </c>
      <c r="V189" s="8" t="s">
        <v>4042</v>
      </c>
      <c r="W189" s="8" t="s">
        <v>4026</v>
      </c>
      <c r="X189" s="8" t="s">
        <v>4034</v>
      </c>
      <c r="Y189" s="8" t="s">
        <v>4043</v>
      </c>
      <c r="Z189" s="8" t="s">
        <v>4044</v>
      </c>
      <c r="AA189" s="8" t="s">
        <v>4045</v>
      </c>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409.5">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38" t="s">
        <v>4022</v>
      </c>
      <c r="S205" s="8" t="s">
        <v>4029</v>
      </c>
      <c r="T205" s="8" t="s">
        <v>4023</v>
      </c>
      <c r="U205" s="8" t="s">
        <v>4024</v>
      </c>
      <c r="V205" s="8" t="s">
        <v>4025</v>
      </c>
      <c r="W205" s="8" t="s">
        <v>4026</v>
      </c>
      <c r="X205" s="8" t="s">
        <v>4027</v>
      </c>
      <c r="Y205" s="8" t="s">
        <v>4028</v>
      </c>
      <c r="Z205" s="8"/>
      <c r="AA205" s="8" t="s">
        <v>4021</v>
      </c>
    </row>
    <row r="206" spans="1:27" ht="409.5">
      <c r="A206" s="8" t="s">
        <v>16</v>
      </c>
      <c r="B206" s="29" t="s">
        <v>587</v>
      </c>
      <c r="C206" s="8" t="s">
        <v>613</v>
      </c>
      <c r="D206" s="8" t="s">
        <v>617</v>
      </c>
      <c r="E206" s="8" t="s">
        <v>615</v>
      </c>
      <c r="F206" s="8"/>
      <c r="G206" s="8" t="s">
        <v>58</v>
      </c>
      <c r="H206" s="8" t="s">
        <v>428</v>
      </c>
      <c r="I206" s="9">
        <v>1</v>
      </c>
      <c r="J206" s="8"/>
      <c r="K206" s="8"/>
      <c r="L206" s="8"/>
      <c r="M206" s="8"/>
      <c r="N206" s="8"/>
      <c r="O206" s="8"/>
      <c r="P206" s="60"/>
      <c r="R206" s="38" t="s">
        <v>4022</v>
      </c>
      <c r="S206" s="8" t="s">
        <v>4029</v>
      </c>
      <c r="T206" s="8" t="s">
        <v>4023</v>
      </c>
      <c r="U206" s="8" t="s">
        <v>4024</v>
      </c>
      <c r="V206" s="8" t="s">
        <v>4025</v>
      </c>
      <c r="W206" s="8" t="s">
        <v>4026</v>
      </c>
      <c r="X206" s="8" t="s">
        <v>4027</v>
      </c>
      <c r="Y206" s="8" t="s">
        <v>4028</v>
      </c>
      <c r="Z206" s="8"/>
      <c r="AA206" s="8" t="s">
        <v>4021</v>
      </c>
    </row>
    <row r="207" spans="1:27" ht="409.5">
      <c r="A207" s="8" t="s">
        <v>16</v>
      </c>
      <c r="B207" s="29" t="s">
        <v>587</v>
      </c>
      <c r="C207" s="8" t="s">
        <v>613</v>
      </c>
      <c r="D207" s="8" t="s">
        <v>618</v>
      </c>
      <c r="E207" s="8" t="s">
        <v>619</v>
      </c>
      <c r="F207" s="8"/>
      <c r="G207" s="8" t="s">
        <v>71</v>
      </c>
      <c r="H207" s="8" t="s">
        <v>432</v>
      </c>
      <c r="I207" s="8">
        <v>2030</v>
      </c>
      <c r="J207" s="8"/>
      <c r="K207" s="8"/>
      <c r="L207" s="8"/>
      <c r="M207" s="8"/>
      <c r="N207" s="8"/>
      <c r="O207" s="8"/>
      <c r="P207" s="60"/>
      <c r="R207" s="38" t="s">
        <v>4022</v>
      </c>
      <c r="S207" s="8" t="s">
        <v>4029</v>
      </c>
      <c r="T207" s="8" t="s">
        <v>4023</v>
      </c>
      <c r="U207" s="8" t="s">
        <v>4024</v>
      </c>
      <c r="V207" s="8" t="s">
        <v>4025</v>
      </c>
      <c r="W207" s="8" t="s">
        <v>4026</v>
      </c>
      <c r="X207" s="8" t="s">
        <v>4027</v>
      </c>
      <c r="Y207" s="8" t="s">
        <v>4028</v>
      </c>
      <c r="Z207" s="8"/>
      <c r="AA207" s="8" t="s">
        <v>4021</v>
      </c>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409.5">
      <c r="A209" s="8" t="s">
        <v>16</v>
      </c>
      <c r="B209" s="29" t="s">
        <v>587</v>
      </c>
      <c r="C209" s="8" t="s">
        <v>624</v>
      </c>
      <c r="D209" s="8" t="s">
        <v>625</v>
      </c>
      <c r="E209" s="8" t="s">
        <v>626</v>
      </c>
      <c r="F209" s="8"/>
      <c r="G209" s="8" t="s">
        <v>62</v>
      </c>
      <c r="H209" s="8" t="s">
        <v>627</v>
      </c>
      <c r="I209" s="9">
        <v>0.5</v>
      </c>
      <c r="J209" s="8"/>
      <c r="K209" s="8"/>
      <c r="L209" s="8"/>
      <c r="M209" s="8"/>
      <c r="N209" s="8"/>
      <c r="O209" s="8"/>
      <c r="P209" s="60"/>
      <c r="R209" s="38" t="s">
        <v>4038</v>
      </c>
      <c r="S209" s="8" t="s">
        <v>4039</v>
      </c>
      <c r="T209" s="8" t="s">
        <v>4040</v>
      </c>
      <c r="U209" s="8" t="s">
        <v>4041</v>
      </c>
      <c r="V209" s="8" t="s">
        <v>4042</v>
      </c>
      <c r="W209" s="8" t="s">
        <v>4026</v>
      </c>
      <c r="X209" s="8" t="s">
        <v>4034</v>
      </c>
      <c r="Y209" s="8" t="s">
        <v>4043</v>
      </c>
      <c r="Z209" s="8" t="s">
        <v>4044</v>
      </c>
      <c r="AA209" s="8" t="s">
        <v>4045</v>
      </c>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330.75">
      <c r="A215" s="8" t="s">
        <v>18</v>
      </c>
      <c r="B215" s="29" t="s">
        <v>54</v>
      </c>
      <c r="C215" s="8" t="s">
        <v>640</v>
      </c>
      <c r="D215" s="8" t="s">
        <v>641</v>
      </c>
      <c r="E215" s="8" t="s">
        <v>642</v>
      </c>
      <c r="F215" s="8"/>
      <c r="G215" s="8" t="s">
        <v>62</v>
      </c>
      <c r="H215" s="8" t="s">
        <v>484</v>
      </c>
      <c r="I215" s="8" t="s">
        <v>485</v>
      </c>
      <c r="J215" s="8"/>
      <c r="K215" s="8"/>
      <c r="L215" s="8"/>
      <c r="M215" s="8"/>
      <c r="N215" s="8"/>
      <c r="O215" s="8"/>
      <c r="P215" s="60"/>
      <c r="R215" s="37" t="s">
        <v>4013</v>
      </c>
      <c r="S215" s="9" t="s">
        <v>4014</v>
      </c>
      <c r="T215" s="9" t="s">
        <v>4015</v>
      </c>
      <c r="U215" s="9" t="s">
        <v>4016</v>
      </c>
      <c r="V215" s="9" t="s">
        <v>4017</v>
      </c>
      <c r="W215" s="9" t="s">
        <v>4018</v>
      </c>
      <c r="X215" s="9" t="s">
        <v>4019</v>
      </c>
      <c r="Y215" s="9" t="s">
        <v>4020</v>
      </c>
      <c r="Z215" s="9"/>
      <c r="AA215" s="8" t="s">
        <v>4021</v>
      </c>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409.5">
      <c r="A233" s="8" t="s">
        <v>18</v>
      </c>
      <c r="B233" s="29" t="s">
        <v>274</v>
      </c>
      <c r="C233" s="8" t="s">
        <v>693</v>
      </c>
      <c r="D233" s="8" t="s">
        <v>694</v>
      </c>
      <c r="E233" s="8" t="s">
        <v>695</v>
      </c>
      <c r="F233" s="8"/>
      <c r="G233" s="8" t="s">
        <v>62</v>
      </c>
      <c r="H233" s="8" t="s">
        <v>696</v>
      </c>
      <c r="I233" s="8" t="s">
        <v>697</v>
      </c>
      <c r="J233" s="8"/>
      <c r="K233" s="8"/>
      <c r="L233" s="8"/>
      <c r="M233" s="8"/>
      <c r="N233" s="8"/>
      <c r="O233" s="8"/>
      <c r="P233" s="60"/>
      <c r="R233" s="38" t="s">
        <v>4022</v>
      </c>
      <c r="S233" s="8" t="s">
        <v>4029</v>
      </c>
      <c r="T233" s="8" t="s">
        <v>4023</v>
      </c>
      <c r="U233" s="8" t="s">
        <v>4024</v>
      </c>
      <c r="V233" s="8" t="s">
        <v>4025</v>
      </c>
      <c r="W233" s="8" t="s">
        <v>4026</v>
      </c>
      <c r="X233" s="8" t="s">
        <v>4027</v>
      </c>
      <c r="Y233" s="8" t="s">
        <v>4028</v>
      </c>
      <c r="Z233" s="8"/>
      <c r="AA233" s="8" t="s">
        <v>4021</v>
      </c>
    </row>
    <row r="234" spans="1:27" ht="409.5">
      <c r="A234" s="8" t="s">
        <v>18</v>
      </c>
      <c r="B234" s="29" t="s">
        <v>274</v>
      </c>
      <c r="C234" s="8" t="s">
        <v>693</v>
      </c>
      <c r="D234" s="8" t="s">
        <v>698</v>
      </c>
      <c r="E234" s="8" t="s">
        <v>699</v>
      </c>
      <c r="F234" s="8"/>
      <c r="G234" s="8" t="s">
        <v>62</v>
      </c>
      <c r="H234" s="8" t="s">
        <v>700</v>
      </c>
      <c r="I234" s="8" t="s">
        <v>701</v>
      </c>
      <c r="J234" s="8"/>
      <c r="K234" s="8"/>
      <c r="L234" s="8"/>
      <c r="M234" s="8"/>
      <c r="N234" s="8"/>
      <c r="O234" s="8"/>
      <c r="P234" s="60"/>
      <c r="R234" s="38" t="s">
        <v>4022</v>
      </c>
      <c r="S234" s="8" t="s">
        <v>4029</v>
      </c>
      <c r="T234" s="8" t="s">
        <v>4023</v>
      </c>
      <c r="U234" s="8" t="s">
        <v>4024</v>
      </c>
      <c r="V234" s="8" t="s">
        <v>4025</v>
      </c>
      <c r="W234" s="8" t="s">
        <v>4026</v>
      </c>
      <c r="X234" s="8" t="s">
        <v>4027</v>
      </c>
      <c r="Y234" s="8" t="s">
        <v>4028</v>
      </c>
      <c r="Z234" s="8"/>
      <c r="AA234" s="8" t="s">
        <v>4021</v>
      </c>
    </row>
    <row r="235" spans="1:27" ht="409.5">
      <c r="A235" s="8" t="s">
        <v>18</v>
      </c>
      <c r="B235" s="29" t="s">
        <v>274</v>
      </c>
      <c r="C235" s="8" t="s">
        <v>693</v>
      </c>
      <c r="D235" s="8" t="s">
        <v>702</v>
      </c>
      <c r="E235" s="8" t="s">
        <v>579</v>
      </c>
      <c r="F235" s="8"/>
      <c r="G235" s="8" t="s">
        <v>62</v>
      </c>
      <c r="H235" s="8" t="s">
        <v>703</v>
      </c>
      <c r="I235" s="8" t="s">
        <v>701</v>
      </c>
      <c r="J235" s="8"/>
      <c r="K235" s="8"/>
      <c r="L235" s="8"/>
      <c r="M235" s="8"/>
      <c r="N235" s="8"/>
      <c r="O235" s="8"/>
      <c r="P235" s="60"/>
      <c r="R235" s="38" t="s">
        <v>4022</v>
      </c>
      <c r="S235" s="8" t="s">
        <v>4029</v>
      </c>
      <c r="T235" s="8" t="s">
        <v>4023</v>
      </c>
      <c r="U235" s="8" t="s">
        <v>4024</v>
      </c>
      <c r="V235" s="8" t="s">
        <v>4025</v>
      </c>
      <c r="W235" s="8" t="s">
        <v>4026</v>
      </c>
      <c r="X235" s="8" t="s">
        <v>4027</v>
      </c>
      <c r="Y235" s="8" t="s">
        <v>4028</v>
      </c>
      <c r="Z235" s="8"/>
      <c r="AA235" s="8" t="s">
        <v>4021</v>
      </c>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409.5">
      <c r="A250" s="8" t="s">
        <v>18</v>
      </c>
      <c r="B250" s="29" t="s">
        <v>587</v>
      </c>
      <c r="C250" s="8" t="s">
        <v>732</v>
      </c>
      <c r="D250" s="8" t="s">
        <v>733</v>
      </c>
      <c r="E250" s="8" t="s">
        <v>734</v>
      </c>
      <c r="F250" s="8"/>
      <c r="G250" s="8" t="s">
        <v>71</v>
      </c>
      <c r="H250" s="8" t="s">
        <v>735</v>
      </c>
      <c r="I250" s="9">
        <v>1</v>
      </c>
      <c r="J250" s="8"/>
      <c r="K250" s="8"/>
      <c r="L250" s="8"/>
      <c r="M250" s="8"/>
      <c r="N250" s="8"/>
      <c r="O250" s="8"/>
      <c r="P250" s="60"/>
      <c r="R250" s="38" t="s">
        <v>4022</v>
      </c>
      <c r="S250" s="8" t="s">
        <v>4029</v>
      </c>
      <c r="T250" s="8" t="s">
        <v>4023</v>
      </c>
      <c r="U250" s="8" t="s">
        <v>4024</v>
      </c>
      <c r="V250" s="8" t="s">
        <v>4025</v>
      </c>
      <c r="W250" s="8" t="s">
        <v>4026</v>
      </c>
      <c r="X250" s="8" t="s">
        <v>4027</v>
      </c>
      <c r="Y250" s="8" t="s">
        <v>4028</v>
      </c>
      <c r="Z250" s="8"/>
      <c r="AA250" s="8" t="s">
        <v>4021</v>
      </c>
    </row>
    <row r="251" spans="1:27" ht="409.5">
      <c r="A251" s="8" t="s">
        <v>18</v>
      </c>
      <c r="B251" s="29" t="s">
        <v>587</v>
      </c>
      <c r="C251" s="8" t="s">
        <v>732</v>
      </c>
      <c r="D251" s="8" t="s">
        <v>736</v>
      </c>
      <c r="E251" s="8" t="s">
        <v>734</v>
      </c>
      <c r="F251" s="8"/>
      <c r="G251" s="8" t="s">
        <v>58</v>
      </c>
      <c r="H251" s="8" t="s">
        <v>428</v>
      </c>
      <c r="I251" s="9">
        <v>1</v>
      </c>
      <c r="J251" s="8"/>
      <c r="K251" s="8"/>
      <c r="L251" s="8"/>
      <c r="M251" s="8"/>
      <c r="N251" s="8"/>
      <c r="O251" s="8"/>
      <c r="P251" s="60"/>
      <c r="R251" s="38" t="s">
        <v>4022</v>
      </c>
      <c r="S251" s="8" t="s">
        <v>4029</v>
      </c>
      <c r="T251" s="8" t="s">
        <v>4023</v>
      </c>
      <c r="U251" s="8" t="s">
        <v>4024</v>
      </c>
      <c r="V251" s="8" t="s">
        <v>4025</v>
      </c>
      <c r="W251" s="8" t="s">
        <v>4026</v>
      </c>
      <c r="X251" s="8" t="s">
        <v>4027</v>
      </c>
      <c r="Y251" s="8" t="s">
        <v>4028</v>
      </c>
      <c r="Z251" s="8"/>
      <c r="AA251" s="8" t="s">
        <v>4021</v>
      </c>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330.75">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7" t="s">
        <v>4013</v>
      </c>
      <c r="S258" s="9" t="s">
        <v>4014</v>
      </c>
      <c r="T258" s="9" t="s">
        <v>4015</v>
      </c>
      <c r="U258" s="9" t="s">
        <v>4016</v>
      </c>
      <c r="V258" s="9" t="s">
        <v>4017</v>
      </c>
      <c r="W258" s="9" t="s">
        <v>4018</v>
      </c>
      <c r="X258" s="9" t="s">
        <v>4019</v>
      </c>
      <c r="Y258" s="9" t="s">
        <v>4020</v>
      </c>
      <c r="Z258" s="9"/>
      <c r="AA258" s="8" t="s">
        <v>4021</v>
      </c>
    </row>
    <row r="259" spans="1:27" ht="330.75">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7" t="s">
        <v>4013</v>
      </c>
      <c r="S259" s="9" t="s">
        <v>4014</v>
      </c>
      <c r="T259" s="9" t="s">
        <v>4015</v>
      </c>
      <c r="U259" s="9" t="s">
        <v>4016</v>
      </c>
      <c r="V259" s="9" t="s">
        <v>4017</v>
      </c>
      <c r="W259" s="9" t="s">
        <v>4018</v>
      </c>
      <c r="X259" s="9" t="s">
        <v>4019</v>
      </c>
      <c r="Y259" s="9" t="s">
        <v>4020</v>
      </c>
      <c r="Z259" s="9"/>
      <c r="AA259" s="8" t="s">
        <v>4021</v>
      </c>
    </row>
    <row r="260" spans="1:27" ht="330.75">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7" t="s">
        <v>4013</v>
      </c>
      <c r="S260" s="9" t="s">
        <v>4014</v>
      </c>
      <c r="T260" s="9" t="s">
        <v>4015</v>
      </c>
      <c r="U260" s="9" t="s">
        <v>4016</v>
      </c>
      <c r="V260" s="9" t="s">
        <v>4017</v>
      </c>
      <c r="W260" s="9" t="s">
        <v>4018</v>
      </c>
      <c r="X260" s="9" t="s">
        <v>4019</v>
      </c>
      <c r="Y260" s="9" t="s">
        <v>4020</v>
      </c>
      <c r="Z260" s="9"/>
      <c r="AA260" s="8" t="s">
        <v>4021</v>
      </c>
    </row>
    <row r="261" spans="1:27" ht="330.75">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7" t="s">
        <v>4013</v>
      </c>
      <c r="S261" s="9" t="s">
        <v>4014</v>
      </c>
      <c r="T261" s="9" t="s">
        <v>4015</v>
      </c>
      <c r="U261" s="9" t="s">
        <v>4016</v>
      </c>
      <c r="V261" s="9" t="s">
        <v>4017</v>
      </c>
      <c r="W261" s="9" t="s">
        <v>4018</v>
      </c>
      <c r="X261" s="9" t="s">
        <v>4019</v>
      </c>
      <c r="Y261" s="9" t="s">
        <v>4020</v>
      </c>
      <c r="Z261" s="9"/>
      <c r="AA261" s="8" t="s">
        <v>4021</v>
      </c>
    </row>
    <row r="262" spans="1:27" ht="330.75">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7" t="s">
        <v>4013</v>
      </c>
      <c r="S262" s="9" t="s">
        <v>4014</v>
      </c>
      <c r="T262" s="9" t="s">
        <v>4015</v>
      </c>
      <c r="U262" s="9" t="s">
        <v>4016</v>
      </c>
      <c r="V262" s="9" t="s">
        <v>4017</v>
      </c>
      <c r="W262" s="9" t="s">
        <v>4018</v>
      </c>
      <c r="X262" s="9" t="s">
        <v>4019</v>
      </c>
      <c r="Y262" s="9" t="s">
        <v>4020</v>
      </c>
      <c r="Z262" s="9"/>
      <c r="AA262" s="8" t="s">
        <v>4021</v>
      </c>
    </row>
    <row r="263" spans="1:27" ht="330.75">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7" t="s">
        <v>4013</v>
      </c>
      <c r="S263" s="9" t="s">
        <v>4014</v>
      </c>
      <c r="T263" s="9" t="s">
        <v>4015</v>
      </c>
      <c r="U263" s="9" t="s">
        <v>4016</v>
      </c>
      <c r="V263" s="9" t="s">
        <v>4017</v>
      </c>
      <c r="W263" s="9" t="s">
        <v>4018</v>
      </c>
      <c r="X263" s="9" t="s">
        <v>4019</v>
      </c>
      <c r="Y263" s="9" t="s">
        <v>4020</v>
      </c>
      <c r="Z263" s="9"/>
      <c r="AA263" s="8" t="s">
        <v>4021</v>
      </c>
    </row>
    <row r="264" spans="1:27" ht="330.75">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7" t="s">
        <v>4013</v>
      </c>
      <c r="S264" s="9" t="s">
        <v>4014</v>
      </c>
      <c r="T264" s="9" t="s">
        <v>4015</v>
      </c>
      <c r="U264" s="9" t="s">
        <v>4016</v>
      </c>
      <c r="V264" s="9" t="s">
        <v>4017</v>
      </c>
      <c r="W264" s="9" t="s">
        <v>4018</v>
      </c>
      <c r="X264" s="9" t="s">
        <v>4019</v>
      </c>
      <c r="Y264" s="9" t="s">
        <v>4020</v>
      </c>
      <c r="Z264" s="9"/>
      <c r="AA264" s="8" t="s">
        <v>4021</v>
      </c>
    </row>
    <row r="265" spans="1:27" ht="330.75">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7" t="s">
        <v>4013</v>
      </c>
      <c r="S265" s="9" t="s">
        <v>4014</v>
      </c>
      <c r="T265" s="9" t="s">
        <v>4015</v>
      </c>
      <c r="U265" s="9" t="s">
        <v>4016</v>
      </c>
      <c r="V265" s="9" t="s">
        <v>4017</v>
      </c>
      <c r="W265" s="9" t="s">
        <v>4018</v>
      </c>
      <c r="X265" s="9" t="s">
        <v>4019</v>
      </c>
      <c r="Y265" s="9" t="s">
        <v>4020</v>
      </c>
      <c r="Z265" s="9"/>
      <c r="AA265" s="8" t="s">
        <v>4021</v>
      </c>
    </row>
    <row r="266" spans="1:27" ht="330.75">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7" t="s">
        <v>4013</v>
      </c>
      <c r="S266" s="9" t="s">
        <v>4014</v>
      </c>
      <c r="T266" s="9" t="s">
        <v>4015</v>
      </c>
      <c r="U266" s="9" t="s">
        <v>4016</v>
      </c>
      <c r="V266" s="9" t="s">
        <v>4017</v>
      </c>
      <c r="W266" s="9" t="s">
        <v>4018</v>
      </c>
      <c r="X266" s="9" t="s">
        <v>4019</v>
      </c>
      <c r="Y266" s="9" t="s">
        <v>4020</v>
      </c>
      <c r="Z266" s="9"/>
      <c r="AA266" s="8" t="s">
        <v>4021</v>
      </c>
    </row>
    <row r="267" spans="1:27" ht="157.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63"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94.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189"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56.25"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56.25"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78.7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63"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330.75">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7" t="s">
        <v>4013</v>
      </c>
      <c r="S321" s="9" t="s">
        <v>4014</v>
      </c>
      <c r="T321" s="9" t="s">
        <v>4015</v>
      </c>
      <c r="U321" s="9" t="s">
        <v>4016</v>
      </c>
      <c r="V321" s="9" t="s">
        <v>4017</v>
      </c>
      <c r="W321" s="9" t="s">
        <v>4018</v>
      </c>
      <c r="X321" s="9" t="s">
        <v>4019</v>
      </c>
      <c r="Y321" s="9" t="s">
        <v>4020</v>
      </c>
      <c r="Z321" s="9"/>
      <c r="AA321" s="8" t="s">
        <v>4021</v>
      </c>
    </row>
    <row r="322" spans="1:51" ht="330.75">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7" t="s">
        <v>4013</v>
      </c>
      <c r="S322" s="9" t="s">
        <v>4014</v>
      </c>
      <c r="T322" s="9" t="s">
        <v>4015</v>
      </c>
      <c r="U322" s="9" t="s">
        <v>4016</v>
      </c>
      <c r="V322" s="9" t="s">
        <v>4017</v>
      </c>
      <c r="W322" s="9" t="s">
        <v>4018</v>
      </c>
      <c r="X322" s="9" t="s">
        <v>4019</v>
      </c>
      <c r="Y322" s="9" t="s">
        <v>4020</v>
      </c>
      <c r="Z322" s="9"/>
      <c r="AA322" s="8" t="s">
        <v>4021</v>
      </c>
    </row>
    <row r="323" spans="1:51" ht="330.75">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7" t="s">
        <v>4013</v>
      </c>
      <c r="S323" s="9" t="s">
        <v>4014</v>
      </c>
      <c r="T323" s="9" t="s">
        <v>4015</v>
      </c>
      <c r="U323" s="9" t="s">
        <v>4016</v>
      </c>
      <c r="V323" s="9" t="s">
        <v>4017</v>
      </c>
      <c r="W323" s="9" t="s">
        <v>4018</v>
      </c>
      <c r="X323" s="9" t="s">
        <v>4019</v>
      </c>
      <c r="Y323" s="9" t="s">
        <v>4020</v>
      </c>
      <c r="Z323" s="9"/>
      <c r="AA323" s="8" t="s">
        <v>4021</v>
      </c>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47.2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94.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63"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63"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362.25">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7" t="s">
        <v>4013</v>
      </c>
      <c r="S383" s="9" t="s">
        <v>4014</v>
      </c>
      <c r="T383" s="9" t="s">
        <v>4015</v>
      </c>
      <c r="U383" s="9" t="s">
        <v>4016</v>
      </c>
      <c r="V383" s="9" t="s">
        <v>4017</v>
      </c>
      <c r="W383" s="9" t="s">
        <v>4018</v>
      </c>
      <c r="X383" s="9" t="s">
        <v>4019</v>
      </c>
      <c r="Y383" s="9" t="s">
        <v>4020</v>
      </c>
      <c r="Z383" s="9"/>
      <c r="AA383" s="8" t="s">
        <v>4021</v>
      </c>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110.2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47.2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78.75"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7" t="s">
        <v>4013</v>
      </c>
      <c r="S417" s="9" t="s">
        <v>4014</v>
      </c>
      <c r="T417" s="9" t="s">
        <v>4015</v>
      </c>
      <c r="U417" s="9" t="s">
        <v>4016</v>
      </c>
      <c r="V417" s="9" t="s">
        <v>4017</v>
      </c>
      <c r="W417" s="9" t="s">
        <v>4018</v>
      </c>
      <c r="X417" s="9" t="s">
        <v>4019</v>
      </c>
      <c r="Y417" s="9" t="s">
        <v>4020</v>
      </c>
      <c r="Z417" s="9"/>
      <c r="AA417" s="8" t="s">
        <v>4021</v>
      </c>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63"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78.75"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254B6CA5-704F-4078-BB8F-9CA85021C22E}">
    <filterColumn colId="17">
      <customFilters>
        <customFilter operator="notEqual" val=" "/>
      </customFilters>
    </filterColumn>
  </autoFilter>
  <dataValidations count="1">
    <dataValidation type="textLength" operator="lessThan" allowBlank="1" showInputMessage="1" showErrorMessage="1" sqref="P1:P432 AA1:AA185 AA187:AA432" xr:uid="{2AB4CEEB-B3F4-4CB7-B028-BDCC46049BE4}">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40785E17-E529-4FE6-A2D3-44110E082846}">
          <x14:formula1>
            <xm:f>'Input sheet to hide '!$C$3:$C$6</xm:f>
          </x14:formula1>
          <xm:sqref>M4:M156 X3:X185 X187:X432</xm:sqref>
        </x14:dataValidation>
        <x14:dataValidation type="list" allowBlank="1" showInputMessage="1" showErrorMessage="1" xr:uid="{EEA002A7-B49F-4DC7-B2CE-1C9FE141FAA4}">
          <x14:formula1>
            <xm:f>'Input sheet to hide '!$B$3:$B$5</xm:f>
          </x14:formula1>
          <xm:sqref>J4:J156 V3:V185 V187:V432</xm:sqref>
        </x14:dataValidation>
        <x14:dataValidation type="list" allowBlank="1" showInputMessage="1" showErrorMessage="1" xr:uid="{D8F056DF-EA00-44F0-BE78-4194802B78C6}">
          <x14:formula1>
            <xm:f>'CP Response Overview'!#REF!</xm:f>
          </x14:formula1>
          <xm:sqref>F432 F274:F297 F420:F421 F415:F418 F403:F413 F387:F399 F344:F385 F336:F341 F333:F334 F300:F331 F191:F235 F237:F272 F3:F189 U3:U185 U187:U432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B5FE4-5433-492D-BD37-DD1EB1A30C5A}">
  <sheetPr filterMode="1"/>
  <dimension ref="A1:AY597"/>
  <sheetViews>
    <sheetView zoomScale="70" zoomScaleNormal="70" workbookViewId="0">
      <selection activeCell="R323" sqref="R323"/>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8"/>
      <c r="M8" s="8"/>
      <c r="N8" s="8"/>
      <c r="O8" s="8"/>
      <c r="P8" s="60"/>
      <c r="R8" s="38"/>
      <c r="S8" s="8"/>
      <c r="T8" s="8"/>
      <c r="U8" s="8"/>
      <c r="V8" s="8"/>
      <c r="W8" s="8"/>
      <c r="X8" s="8"/>
      <c r="Y8" s="8"/>
      <c r="Z8" s="8"/>
      <c r="AA8" s="8"/>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hidden="1">
      <c r="A12" s="8" t="s">
        <v>53</v>
      </c>
      <c r="B12" s="29" t="s">
        <v>54</v>
      </c>
      <c r="C12" s="8" t="s">
        <v>81</v>
      </c>
      <c r="D12" s="8" t="s">
        <v>86</v>
      </c>
      <c r="E12" s="69" t="s">
        <v>87</v>
      </c>
      <c r="F12" s="8"/>
      <c r="G12" s="8" t="s">
        <v>62</v>
      </c>
      <c r="H12" s="8" t="s">
        <v>84</v>
      </c>
      <c r="I12" s="8" t="s">
        <v>85</v>
      </c>
      <c r="J12" s="8"/>
      <c r="K12" s="8"/>
      <c r="L12" s="8"/>
      <c r="M12" s="8"/>
      <c r="N12" s="8"/>
      <c r="O12" s="8"/>
      <c r="P12" s="60"/>
      <c r="R12" s="38"/>
      <c r="S12" s="8"/>
      <c r="T12" s="8"/>
      <c r="U12" s="8"/>
      <c r="V12" s="8"/>
      <c r="W12" s="8"/>
      <c r="X12" s="8"/>
      <c r="Y12" s="8"/>
      <c r="Z12" s="8"/>
      <c r="AA12" s="8"/>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63" hidden="1">
      <c r="A14" s="8" t="s">
        <v>53</v>
      </c>
      <c r="B14" s="29" t="s">
        <v>54</v>
      </c>
      <c r="C14" s="8" t="s">
        <v>81</v>
      </c>
      <c r="D14" s="8" t="s">
        <v>90</v>
      </c>
      <c r="E14" s="69" t="s">
        <v>91</v>
      </c>
      <c r="F14" s="8"/>
      <c r="G14" s="8" t="s">
        <v>62</v>
      </c>
      <c r="H14" s="8" t="s">
        <v>84</v>
      </c>
      <c r="I14" s="8" t="s">
        <v>85</v>
      </c>
      <c r="J14" s="8"/>
      <c r="K14" s="8"/>
      <c r="L14" s="8"/>
      <c r="M14" s="8"/>
      <c r="N14" s="8"/>
      <c r="O14" s="8"/>
      <c r="P14" s="60"/>
      <c r="R14" s="38"/>
      <c r="S14" s="8"/>
      <c r="T14" s="8"/>
      <c r="U14" s="8"/>
      <c r="V14" s="8"/>
      <c r="W14" s="8"/>
      <c r="X14" s="8"/>
      <c r="Y14" s="8"/>
      <c r="Z14" s="8"/>
      <c r="AA14" s="8"/>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hidden="1" customHeight="1">
      <c r="A21" s="8" t="s">
        <v>53</v>
      </c>
      <c r="B21" s="29" t="s">
        <v>54</v>
      </c>
      <c r="C21" s="8" t="s">
        <v>81</v>
      </c>
      <c r="D21" s="8" t="s">
        <v>104</v>
      </c>
      <c r="E21" s="8" t="s">
        <v>105</v>
      </c>
      <c r="F21" s="8"/>
      <c r="G21" s="8" t="s">
        <v>62</v>
      </c>
      <c r="H21" s="8" t="s">
        <v>106</v>
      </c>
      <c r="I21" s="9">
        <v>1</v>
      </c>
      <c r="J21" s="9"/>
      <c r="K21" s="11"/>
      <c r="L21" s="9"/>
      <c r="M21" s="9"/>
      <c r="N21" s="9"/>
      <c r="O21" s="9"/>
      <c r="P21" s="60"/>
      <c r="Q21" s="47"/>
      <c r="R21" s="37"/>
      <c r="S21" s="9"/>
      <c r="T21" s="9"/>
      <c r="U21" s="9"/>
      <c r="V21" s="9"/>
      <c r="W21" s="9"/>
      <c r="X21" s="9"/>
      <c r="Y21" s="9"/>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56.25"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63" hidden="1">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c r="S258" s="8"/>
      <c r="T258" s="8"/>
      <c r="U258" s="8"/>
      <c r="V258" s="8"/>
      <c r="W258" s="8"/>
      <c r="X258" s="8"/>
      <c r="Y258" s="8"/>
      <c r="Z258" s="8"/>
      <c r="AA258" s="8"/>
    </row>
    <row r="259" spans="1:27" ht="409.5">
      <c r="A259" s="8" t="s">
        <v>20</v>
      </c>
      <c r="B259" s="31" t="s">
        <v>54</v>
      </c>
      <c r="C259" s="18" t="s">
        <v>751</v>
      </c>
      <c r="D259" s="18" t="s">
        <v>757</v>
      </c>
      <c r="E259" s="69" t="s">
        <v>758</v>
      </c>
      <c r="F259" s="8"/>
      <c r="G259" s="18" t="s">
        <v>62</v>
      </c>
      <c r="H259" s="18" t="s">
        <v>754</v>
      </c>
      <c r="I259" s="18" t="s">
        <v>485</v>
      </c>
      <c r="J259" s="8"/>
      <c r="K259" s="8"/>
      <c r="L259" s="8"/>
      <c r="M259" s="8"/>
      <c r="N259" s="8"/>
      <c r="O259" s="8"/>
      <c r="P259" s="60"/>
      <c r="R259" s="154" t="s">
        <v>1725</v>
      </c>
      <c r="S259" s="155"/>
      <c r="T259" s="154" t="s">
        <v>1726</v>
      </c>
      <c r="U259" s="155"/>
      <c r="V259" s="155" t="s">
        <v>1191</v>
      </c>
      <c r="W259" s="155" t="s">
        <v>1204</v>
      </c>
      <c r="X259" s="155" t="s">
        <v>9</v>
      </c>
      <c r="Y259" s="155"/>
      <c r="Z259" s="155" t="s">
        <v>1727</v>
      </c>
      <c r="AA259" s="155"/>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154"/>
      <c r="S260" s="155"/>
      <c r="T260" s="155"/>
      <c r="U260" s="155"/>
      <c r="V260" s="155"/>
      <c r="W260" s="155"/>
      <c r="X260" s="155"/>
      <c r="Y260" s="155"/>
      <c r="Z260" s="155"/>
      <c r="AA260" s="155"/>
    </row>
    <row r="261" spans="1:27" ht="236.25">
      <c r="A261" s="8" t="s">
        <v>20</v>
      </c>
      <c r="B261" s="31" t="s">
        <v>54</v>
      </c>
      <c r="C261" s="18" t="s">
        <v>751</v>
      </c>
      <c r="D261" s="18" t="s">
        <v>761</v>
      </c>
      <c r="E261" s="69" t="s">
        <v>762</v>
      </c>
      <c r="F261" s="8"/>
      <c r="G261" s="18" t="s">
        <v>62</v>
      </c>
      <c r="H261" s="18" t="s">
        <v>754</v>
      </c>
      <c r="I261" s="18" t="s">
        <v>485</v>
      </c>
      <c r="J261" s="8"/>
      <c r="K261" s="8"/>
      <c r="L261" s="8"/>
      <c r="M261" s="8"/>
      <c r="N261" s="8"/>
      <c r="O261" s="8"/>
      <c r="P261" s="60"/>
      <c r="R261" s="154" t="s">
        <v>1728</v>
      </c>
      <c r="S261" s="155"/>
      <c r="T261" s="155" t="s">
        <v>1729</v>
      </c>
      <c r="U261" s="155"/>
      <c r="V261" s="155" t="s">
        <v>1191</v>
      </c>
      <c r="W261" s="155" t="s">
        <v>1204</v>
      </c>
      <c r="X261" s="155" t="s">
        <v>9</v>
      </c>
      <c r="Y261" s="155"/>
      <c r="Z261" s="155" t="s">
        <v>1730</v>
      </c>
      <c r="AA261" s="155"/>
    </row>
    <row r="262" spans="1:27" ht="252">
      <c r="A262" s="8" t="s">
        <v>20</v>
      </c>
      <c r="B262" s="31" t="s">
        <v>54</v>
      </c>
      <c r="C262" s="18" t="s">
        <v>751</v>
      </c>
      <c r="D262" s="18" t="s">
        <v>763</v>
      </c>
      <c r="E262" s="69" t="s">
        <v>764</v>
      </c>
      <c r="F262" s="8"/>
      <c r="G262" s="18" t="s">
        <v>62</v>
      </c>
      <c r="H262" s="18" t="s">
        <v>754</v>
      </c>
      <c r="I262" s="18" t="s">
        <v>485</v>
      </c>
      <c r="J262" s="8"/>
      <c r="K262" s="8"/>
      <c r="L262" s="8"/>
      <c r="M262" s="8"/>
      <c r="N262" s="8"/>
      <c r="O262" s="8"/>
      <c r="P262" s="60"/>
      <c r="R262" s="154" t="s">
        <v>1731</v>
      </c>
      <c r="S262" s="155"/>
      <c r="T262" s="155" t="s">
        <v>1732</v>
      </c>
      <c r="U262" s="155"/>
      <c r="V262" s="155" t="s">
        <v>1191</v>
      </c>
      <c r="W262" s="155" t="s">
        <v>1204</v>
      </c>
      <c r="X262" s="155" t="s">
        <v>9</v>
      </c>
      <c r="Y262" s="155"/>
      <c r="Z262" s="155" t="s">
        <v>1733</v>
      </c>
      <c r="AA262" s="155" t="s">
        <v>1734</v>
      </c>
    </row>
    <row r="263" spans="1:27" ht="409.5">
      <c r="A263" s="8" t="s">
        <v>20</v>
      </c>
      <c r="B263" s="31" t="s">
        <v>54</v>
      </c>
      <c r="C263" s="18" t="s">
        <v>751</v>
      </c>
      <c r="D263" s="18" t="s">
        <v>765</v>
      </c>
      <c r="E263" s="69" t="s">
        <v>766</v>
      </c>
      <c r="F263" s="8"/>
      <c r="G263" s="18" t="s">
        <v>62</v>
      </c>
      <c r="H263" s="18" t="s">
        <v>754</v>
      </c>
      <c r="I263" s="18" t="s">
        <v>485</v>
      </c>
      <c r="J263" s="8"/>
      <c r="K263" s="8"/>
      <c r="L263" s="8"/>
      <c r="M263" s="8"/>
      <c r="N263" s="8"/>
      <c r="O263" s="8"/>
      <c r="P263" s="60"/>
      <c r="R263" s="154" t="s">
        <v>1735</v>
      </c>
      <c r="S263" s="155"/>
      <c r="T263" s="155" t="s">
        <v>1736</v>
      </c>
      <c r="U263" s="155"/>
      <c r="V263" s="155" t="s">
        <v>8</v>
      </c>
      <c r="W263" s="155" t="s">
        <v>1204</v>
      </c>
      <c r="X263" s="155" t="s">
        <v>9</v>
      </c>
      <c r="Y263" s="155" t="s">
        <v>1737</v>
      </c>
      <c r="Z263" s="155" t="s">
        <v>1738</v>
      </c>
      <c r="AA263" s="155"/>
    </row>
    <row r="264" spans="1:27" ht="173.25">
      <c r="A264" s="8" t="s">
        <v>20</v>
      </c>
      <c r="B264" s="31" t="s">
        <v>54</v>
      </c>
      <c r="C264" s="18" t="s">
        <v>751</v>
      </c>
      <c r="D264" s="18" t="s">
        <v>767</v>
      </c>
      <c r="E264" s="69" t="s">
        <v>768</v>
      </c>
      <c r="F264" s="8"/>
      <c r="G264" s="18" t="s">
        <v>62</v>
      </c>
      <c r="H264" s="18" t="s">
        <v>754</v>
      </c>
      <c r="I264" s="18" t="s">
        <v>485</v>
      </c>
      <c r="J264" s="8"/>
      <c r="K264" s="8"/>
      <c r="L264" s="8"/>
      <c r="M264" s="8"/>
      <c r="N264" s="8"/>
      <c r="O264" s="8"/>
      <c r="P264" s="60"/>
      <c r="R264" s="154" t="s">
        <v>1739</v>
      </c>
      <c r="S264" s="155"/>
      <c r="T264" s="155" t="s">
        <v>1740</v>
      </c>
      <c r="U264" s="155"/>
      <c r="V264" s="155" t="s">
        <v>1191</v>
      </c>
      <c r="W264" s="155" t="s">
        <v>1204</v>
      </c>
      <c r="X264" s="155" t="s">
        <v>9</v>
      </c>
      <c r="Y264" s="155" t="s">
        <v>1741</v>
      </c>
      <c r="Z264" s="155" t="s">
        <v>1738</v>
      </c>
      <c r="AA264" s="155"/>
    </row>
    <row r="265" spans="1:27" ht="409.5">
      <c r="A265" s="8" t="s">
        <v>20</v>
      </c>
      <c r="B265" s="31" t="s">
        <v>54</v>
      </c>
      <c r="C265" s="18" t="s">
        <v>751</v>
      </c>
      <c r="D265" s="18" t="s">
        <v>769</v>
      </c>
      <c r="E265" s="69" t="s">
        <v>770</v>
      </c>
      <c r="F265" s="8"/>
      <c r="G265" s="18" t="s">
        <v>62</v>
      </c>
      <c r="H265" s="18" t="s">
        <v>754</v>
      </c>
      <c r="I265" s="18" t="s">
        <v>485</v>
      </c>
      <c r="J265" s="8"/>
      <c r="K265" s="8"/>
      <c r="L265" s="8"/>
      <c r="M265" s="8"/>
      <c r="N265" s="8"/>
      <c r="O265" s="8"/>
      <c r="P265" s="60"/>
      <c r="R265" s="154" t="s">
        <v>1742</v>
      </c>
      <c r="S265" s="155"/>
      <c r="T265" s="155" t="s">
        <v>1743</v>
      </c>
      <c r="U265" s="155"/>
      <c r="V265" s="155" t="s">
        <v>1191</v>
      </c>
      <c r="W265" s="155" t="s">
        <v>1204</v>
      </c>
      <c r="X265" s="155" t="s">
        <v>9</v>
      </c>
      <c r="Y265" s="155"/>
      <c r="Z265" s="155" t="s">
        <v>1730</v>
      </c>
      <c r="AA265" s="155" t="s">
        <v>1744</v>
      </c>
    </row>
    <row r="266" spans="1:27" ht="346.5">
      <c r="A266" s="8" t="s">
        <v>20</v>
      </c>
      <c r="B266" s="31" t="s">
        <v>54</v>
      </c>
      <c r="C266" s="18" t="s">
        <v>751</v>
      </c>
      <c r="D266" s="18" t="s">
        <v>771</v>
      </c>
      <c r="E266" s="18" t="s">
        <v>772</v>
      </c>
      <c r="F266" s="8"/>
      <c r="G266" s="18" t="s">
        <v>62</v>
      </c>
      <c r="H266" s="18" t="s">
        <v>773</v>
      </c>
      <c r="I266" s="18" t="s">
        <v>139</v>
      </c>
      <c r="J266" s="8"/>
      <c r="K266" s="8"/>
      <c r="L266" s="8"/>
      <c r="M266" s="8"/>
      <c r="N266" s="8"/>
      <c r="O266" s="8"/>
      <c r="P266" s="60"/>
      <c r="R266" s="154" t="s">
        <v>1745</v>
      </c>
      <c r="S266" s="155" t="s">
        <v>1746</v>
      </c>
      <c r="T266" s="155" t="s">
        <v>1747</v>
      </c>
      <c r="U266" s="155"/>
      <c r="V266" s="155" t="s">
        <v>1090</v>
      </c>
      <c r="W266" s="155">
        <v>2018</v>
      </c>
      <c r="X266" s="155" t="s">
        <v>9</v>
      </c>
      <c r="Y266" s="155"/>
      <c r="Z266" s="155"/>
      <c r="AA266" s="155"/>
    </row>
    <row r="267" spans="1:27" ht="157.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154"/>
      <c r="S267" s="155"/>
      <c r="T267" s="155"/>
      <c r="U267" s="155"/>
      <c r="V267" s="155"/>
      <c r="W267" s="155"/>
      <c r="X267" s="155"/>
      <c r="Y267" s="155"/>
      <c r="Z267" s="155"/>
      <c r="AA267" s="155"/>
    </row>
    <row r="268" spans="1:27" ht="409.5" hidden="1">
      <c r="A268" s="8" t="s">
        <v>20</v>
      </c>
      <c r="B268" s="31" t="s">
        <v>54</v>
      </c>
      <c r="C268" s="8" t="s">
        <v>774</v>
      </c>
      <c r="D268" s="8" t="s">
        <v>778</v>
      </c>
      <c r="E268" s="8" t="s">
        <v>779</v>
      </c>
      <c r="F268" s="8"/>
      <c r="G268" s="8" t="s">
        <v>62</v>
      </c>
      <c r="H268" s="8" t="s">
        <v>780</v>
      </c>
      <c r="I268" s="8">
        <v>5</v>
      </c>
      <c r="J268" s="8"/>
      <c r="K268" s="8"/>
      <c r="L268" s="8"/>
      <c r="M268" s="8"/>
      <c r="N268" s="8"/>
      <c r="O268" s="8"/>
      <c r="P268" s="60"/>
      <c r="R268" s="154"/>
      <c r="S268" s="155" t="s">
        <v>1748</v>
      </c>
      <c r="T268" s="155" t="s">
        <v>1749</v>
      </c>
      <c r="U268" s="155"/>
      <c r="V268" s="155" t="s">
        <v>1191</v>
      </c>
      <c r="W268" s="155" t="s">
        <v>1204</v>
      </c>
      <c r="X268" s="155" t="s">
        <v>10</v>
      </c>
      <c r="Y268" s="155"/>
      <c r="Z268" s="155" t="s">
        <v>1750</v>
      </c>
      <c r="AA268" s="155" t="s">
        <v>1751</v>
      </c>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63"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94.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189"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126">
      <c r="A287" s="8" t="s">
        <v>20</v>
      </c>
      <c r="B287" s="29" t="s">
        <v>195</v>
      </c>
      <c r="C287" s="8" t="s">
        <v>815</v>
      </c>
      <c r="D287" s="8" t="s">
        <v>832</v>
      </c>
      <c r="E287" s="8" t="s">
        <v>833</v>
      </c>
      <c r="F287" s="8"/>
      <c r="G287" s="8" t="s">
        <v>62</v>
      </c>
      <c r="H287" s="8" t="s">
        <v>834</v>
      </c>
      <c r="I287" s="9">
        <v>0.8</v>
      </c>
      <c r="J287" s="8"/>
      <c r="K287" s="8"/>
      <c r="L287" s="8"/>
      <c r="M287" s="8"/>
      <c r="N287" s="8"/>
      <c r="O287" s="8"/>
      <c r="P287" s="60"/>
      <c r="R287" s="154" t="s">
        <v>1752</v>
      </c>
      <c r="S287" s="155"/>
      <c r="T287" s="155" t="s">
        <v>1753</v>
      </c>
      <c r="U287" s="155"/>
      <c r="V287" s="155" t="s">
        <v>1090</v>
      </c>
      <c r="W287" s="155">
        <v>2021</v>
      </c>
      <c r="X287" s="155" t="s">
        <v>9</v>
      </c>
      <c r="Y287" s="155" t="s">
        <v>1754</v>
      </c>
      <c r="Z287" s="155" t="s">
        <v>1755</v>
      </c>
      <c r="AA287" s="155"/>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154"/>
      <c r="S288" s="155"/>
      <c r="T288" s="155"/>
      <c r="U288" s="155"/>
      <c r="V288" s="155"/>
      <c r="W288" s="155"/>
      <c r="X288" s="155"/>
      <c r="Y288" s="155"/>
      <c r="Z288" s="155"/>
      <c r="AA288" s="155"/>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154"/>
      <c r="S289" s="155"/>
      <c r="T289" s="155"/>
      <c r="U289" s="155"/>
      <c r="V289" s="155"/>
      <c r="W289" s="155"/>
      <c r="X289" s="155"/>
      <c r="Y289" s="155"/>
      <c r="Z289" s="155"/>
      <c r="AA289" s="155"/>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154"/>
      <c r="S290" s="155"/>
      <c r="T290" s="155"/>
      <c r="U290" s="155"/>
      <c r="V290" s="155"/>
      <c r="W290" s="155"/>
      <c r="X290" s="155"/>
      <c r="Y290" s="155"/>
      <c r="Z290" s="155"/>
      <c r="AA290" s="155"/>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154"/>
      <c r="S291" s="155"/>
      <c r="T291" s="155"/>
      <c r="U291" s="155"/>
      <c r="V291" s="155"/>
      <c r="W291" s="155"/>
      <c r="X291" s="155"/>
      <c r="Y291" s="155"/>
      <c r="Z291" s="155"/>
      <c r="AA291" s="155"/>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154"/>
      <c r="S292" s="155"/>
      <c r="T292" s="155"/>
      <c r="U292" s="155"/>
      <c r="V292" s="155"/>
      <c r="W292" s="155"/>
      <c r="X292" s="155"/>
      <c r="Y292" s="155"/>
      <c r="Z292" s="155"/>
      <c r="AA292" s="155"/>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154"/>
      <c r="S293" s="155"/>
      <c r="T293" s="155"/>
      <c r="U293" s="155"/>
      <c r="V293" s="155"/>
      <c r="W293" s="155"/>
      <c r="X293" s="155"/>
      <c r="Y293" s="155"/>
      <c r="Z293" s="155"/>
      <c r="AA293" s="155"/>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154"/>
      <c r="S294" s="155"/>
      <c r="T294" s="155"/>
      <c r="U294" s="155"/>
      <c r="V294" s="155"/>
      <c r="W294" s="155"/>
      <c r="X294" s="155"/>
      <c r="Y294" s="155"/>
      <c r="Z294" s="155"/>
      <c r="AA294" s="155"/>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154"/>
      <c r="S295" s="155"/>
      <c r="T295" s="155"/>
      <c r="U295" s="155"/>
      <c r="V295" s="155"/>
      <c r="W295" s="155"/>
      <c r="X295" s="155"/>
      <c r="Y295" s="155"/>
      <c r="Z295" s="155"/>
      <c r="AA295" s="155"/>
    </row>
    <row r="296" spans="1:51" ht="189">
      <c r="A296" s="8" t="s">
        <v>20</v>
      </c>
      <c r="B296" s="29" t="s">
        <v>274</v>
      </c>
      <c r="C296" s="8" t="s">
        <v>850</v>
      </c>
      <c r="D296" s="8" t="s">
        <v>860</v>
      </c>
      <c r="E296" s="8" t="s">
        <v>861</v>
      </c>
      <c r="F296" s="8"/>
      <c r="G296" s="8" t="s">
        <v>62</v>
      </c>
      <c r="H296" s="8" t="s">
        <v>862</v>
      </c>
      <c r="I296" s="9">
        <v>0.5</v>
      </c>
      <c r="J296" s="8"/>
      <c r="K296" s="8"/>
      <c r="L296" s="8"/>
      <c r="M296" s="8"/>
      <c r="N296" s="8"/>
      <c r="O296" s="8"/>
      <c r="P296" s="60"/>
      <c r="R296" s="154" t="s">
        <v>1756</v>
      </c>
      <c r="S296" s="155"/>
      <c r="T296" s="155" t="s">
        <v>1757</v>
      </c>
      <c r="U296" s="155"/>
      <c r="V296" s="155"/>
      <c r="W296" s="155"/>
      <c r="X296" s="155"/>
      <c r="Y296" s="155"/>
      <c r="Z296" s="155" t="s">
        <v>1758</v>
      </c>
      <c r="AA296" s="155"/>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56.25"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56.25"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78.7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63"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31.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56.25"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56.25"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31.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56.25"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56.25"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63"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154" t="s">
        <v>1759</v>
      </c>
      <c r="S421" s="155"/>
      <c r="T421" s="155" t="s">
        <v>1760</v>
      </c>
      <c r="U421" s="155"/>
      <c r="V421" s="155"/>
      <c r="W421" s="155">
        <v>2022</v>
      </c>
      <c r="X421" s="155"/>
      <c r="Y421" s="155"/>
      <c r="Z421" s="155"/>
      <c r="AA421" s="155"/>
    </row>
    <row r="422" spans="1:51" s="2" customFormat="1" ht="409.5">
      <c r="A422" s="24" t="s">
        <v>26</v>
      </c>
      <c r="B422" s="32" t="s">
        <v>195</v>
      </c>
      <c r="C422" s="24" t="s">
        <v>1176</v>
      </c>
      <c r="D422" s="19"/>
      <c r="E422" s="24"/>
      <c r="F422" s="24"/>
      <c r="G422" s="24"/>
      <c r="H422" s="19"/>
      <c r="I422" s="19"/>
      <c r="J422" s="19"/>
      <c r="K422" s="19"/>
      <c r="L422" s="19"/>
      <c r="M422" s="19"/>
      <c r="N422" s="19"/>
      <c r="O422" s="19"/>
      <c r="P422" s="19"/>
      <c r="Q422" s="48"/>
      <c r="R422" s="154" t="s">
        <v>1761</v>
      </c>
      <c r="S422" s="155"/>
      <c r="T422" s="155" t="s">
        <v>1762</v>
      </c>
      <c r="U422" s="155"/>
      <c r="V422" s="155" t="s">
        <v>1090</v>
      </c>
      <c r="W422" s="155">
        <v>2021</v>
      </c>
      <c r="X422" s="155"/>
      <c r="Y422" s="155"/>
      <c r="Z422" s="155" t="s">
        <v>1763</v>
      </c>
      <c r="AA422" s="155" t="s">
        <v>1764</v>
      </c>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154" t="s">
        <v>1761</v>
      </c>
      <c r="S432" s="155"/>
      <c r="T432" s="155" t="s">
        <v>1762</v>
      </c>
      <c r="U432" s="155"/>
      <c r="V432" s="155" t="s">
        <v>1090</v>
      </c>
      <c r="W432" s="155">
        <v>2021</v>
      </c>
      <c r="X432" s="155"/>
      <c r="Y432" s="155"/>
      <c r="Z432" s="155" t="s">
        <v>1763</v>
      </c>
      <c r="AA432" s="155" t="s">
        <v>1764</v>
      </c>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DDCB5FE4-5433-492D-BD37-DD1EB1A30C5A}">
    <filterColumn colId="17">
      <customFilters>
        <customFilter operator="notEqual" val=" "/>
      </customFilters>
    </filterColumn>
  </autoFilter>
  <dataValidations count="1">
    <dataValidation type="textLength" operator="lessThan" allowBlank="1" showInputMessage="1" showErrorMessage="1" sqref="P1:P432 AA1:AA432" xr:uid="{49A334F5-2E5C-44CD-B171-7CA8A5843415}">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DF41B4FD-82F4-432D-9131-73720701D150}">
          <x14:formula1>
            <xm:f>'Input sheet to hide '!$B$3:$B$5</xm:f>
          </x14:formula1>
          <xm:sqref>J4:J156 V3:V432</xm:sqref>
        </x14:dataValidation>
        <x14:dataValidation type="list" allowBlank="1" showInputMessage="1" showErrorMessage="1" xr:uid="{19CE2B09-7F21-4C6F-8937-CC7AC1E8FC61}">
          <x14:formula1>
            <xm:f>'Input sheet to hide '!$C$3:$C$6</xm:f>
          </x14:formula1>
          <xm:sqref>M4:M156 X3:X432</xm:sqref>
        </x14:dataValidation>
        <x14:dataValidation type="list" allowBlank="1" showInputMessage="1" showErrorMessage="1" xr:uid="{2D3E4CD1-6A18-4EFA-AD6D-E330BA4521C0}">
          <x14:formula1>
            <xm:f>'CP Response Overview'!#REF!</xm:f>
          </x14:formula1>
          <xm:sqref>U3:U432 F432 F274:F297 F420:F421 F415:F418 F403:F413 F387:F399 F344:F385 F336:F341 F333:F334 F300:F331 F191:F235 F237:F272 F3:F189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F2CDD-39A5-4179-AA87-626C85EEC25D}">
  <sheetPr filterMode="1"/>
  <dimension ref="A1:AY597"/>
  <sheetViews>
    <sheetView workbookViewId="0">
      <selection activeCell="R296" sqref="R296"/>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8"/>
      <c r="M8" s="8"/>
      <c r="N8" s="8"/>
      <c r="O8" s="8"/>
      <c r="P8" s="60"/>
      <c r="R8" s="38"/>
      <c r="S8" s="8"/>
      <c r="T8" s="8"/>
      <c r="U8" s="8"/>
      <c r="V8" s="8"/>
      <c r="W8" s="8"/>
      <c r="X8" s="8"/>
      <c r="Y8" s="8"/>
      <c r="Z8" s="8"/>
      <c r="AA8" s="8"/>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t="s">
        <v>1765</v>
      </c>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hidden="1">
      <c r="A12" s="8" t="s">
        <v>53</v>
      </c>
      <c r="B12" s="29" t="s">
        <v>54</v>
      </c>
      <c r="C12" s="8" t="s">
        <v>81</v>
      </c>
      <c r="D12" s="8" t="s">
        <v>86</v>
      </c>
      <c r="E12" s="69" t="s">
        <v>87</v>
      </c>
      <c r="F12" s="8"/>
      <c r="G12" s="8" t="s">
        <v>62</v>
      </c>
      <c r="H12" s="8" t="s">
        <v>84</v>
      </c>
      <c r="I12" s="8" t="s">
        <v>85</v>
      </c>
      <c r="J12" s="8"/>
      <c r="K12" s="8"/>
      <c r="L12" s="8"/>
      <c r="M12" s="8"/>
      <c r="N12" s="8"/>
      <c r="O12" s="8"/>
      <c r="P12" s="60"/>
      <c r="R12" s="38"/>
      <c r="S12" s="8"/>
      <c r="T12" s="8"/>
      <c r="U12" s="8"/>
      <c r="V12" s="8"/>
      <c r="W12" s="8"/>
      <c r="X12" s="8"/>
      <c r="Y12" s="8"/>
      <c r="Z12" s="8"/>
      <c r="AA12" s="8"/>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94.5">
      <c r="A14" s="8" t="s">
        <v>53</v>
      </c>
      <c r="B14" s="29" t="s">
        <v>54</v>
      </c>
      <c r="C14" s="8" t="s">
        <v>81</v>
      </c>
      <c r="D14" s="8" t="s">
        <v>90</v>
      </c>
      <c r="E14" s="69" t="s">
        <v>91</v>
      </c>
      <c r="F14" s="8"/>
      <c r="G14" s="8" t="s">
        <v>62</v>
      </c>
      <c r="H14" s="8" t="s">
        <v>84</v>
      </c>
      <c r="I14" s="8" t="s">
        <v>85</v>
      </c>
      <c r="J14" s="8"/>
      <c r="K14" s="8"/>
      <c r="L14" s="8"/>
      <c r="M14" s="8"/>
      <c r="N14" s="8"/>
      <c r="O14" s="8"/>
      <c r="P14" s="60"/>
      <c r="R14" s="38" t="s">
        <v>1766</v>
      </c>
      <c r="S14" s="8" t="s">
        <v>1765</v>
      </c>
      <c r="T14" s="8" t="s">
        <v>1767</v>
      </c>
      <c r="U14" s="8" t="s">
        <v>1768</v>
      </c>
      <c r="V14" s="8" t="s">
        <v>1191</v>
      </c>
      <c r="W14" s="8" t="s">
        <v>1197</v>
      </c>
      <c r="X14" s="8" t="s">
        <v>10</v>
      </c>
      <c r="Y14" s="8" t="s">
        <v>1769</v>
      </c>
      <c r="Z14" s="8" t="s">
        <v>1770</v>
      </c>
      <c r="AA14" s="8" t="s">
        <v>1771</v>
      </c>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110.25">
      <c r="A20" s="8" t="s">
        <v>53</v>
      </c>
      <c r="B20" s="29" t="s">
        <v>54</v>
      </c>
      <c r="C20" s="8" t="s">
        <v>81</v>
      </c>
      <c r="D20" s="8" t="s">
        <v>102</v>
      </c>
      <c r="E20" s="69" t="s">
        <v>103</v>
      </c>
      <c r="F20" s="8"/>
      <c r="G20" s="8" t="s">
        <v>62</v>
      </c>
      <c r="H20" s="8" t="s">
        <v>84</v>
      </c>
      <c r="I20" s="8" t="s">
        <v>85</v>
      </c>
      <c r="J20" s="8"/>
      <c r="K20" s="8"/>
      <c r="L20" s="8"/>
      <c r="M20" s="8"/>
      <c r="N20" s="8"/>
      <c r="O20" s="8"/>
      <c r="P20" s="60"/>
      <c r="R20" s="38" t="s">
        <v>1772</v>
      </c>
      <c r="S20" s="8" t="s">
        <v>1773</v>
      </c>
      <c r="T20" s="8" t="s">
        <v>1774</v>
      </c>
      <c r="U20" s="8" t="s">
        <v>1768</v>
      </c>
      <c r="V20" s="8" t="s">
        <v>1191</v>
      </c>
      <c r="W20" s="8" t="s">
        <v>1197</v>
      </c>
      <c r="X20" s="8" t="s">
        <v>10</v>
      </c>
      <c r="Y20" s="8" t="s">
        <v>1775</v>
      </c>
      <c r="Z20" s="8" t="s">
        <v>1776</v>
      </c>
      <c r="AA20" s="8" t="s">
        <v>1777</v>
      </c>
    </row>
    <row r="21" spans="1:27" ht="142.5" hidden="1" customHeight="1">
      <c r="A21" s="8" t="s">
        <v>53</v>
      </c>
      <c r="B21" s="29" t="s">
        <v>54</v>
      </c>
      <c r="C21" s="8" t="s">
        <v>81</v>
      </c>
      <c r="D21" s="8" t="s">
        <v>104</v>
      </c>
      <c r="E21" s="8" t="s">
        <v>105</v>
      </c>
      <c r="F21" s="8"/>
      <c r="G21" s="8" t="s">
        <v>62</v>
      </c>
      <c r="H21" s="8" t="s">
        <v>106</v>
      </c>
      <c r="I21" s="9">
        <v>1</v>
      </c>
      <c r="J21" s="9"/>
      <c r="K21" s="11"/>
      <c r="L21" s="9"/>
      <c r="M21" s="9"/>
      <c r="N21" s="9"/>
      <c r="O21" s="9"/>
      <c r="P21" s="60"/>
      <c r="Q21" s="47"/>
      <c r="R21" s="37"/>
      <c r="S21" s="9"/>
      <c r="T21" s="9"/>
      <c r="U21" s="9"/>
      <c r="V21" s="9"/>
      <c r="W21" s="9"/>
      <c r="X21" s="9"/>
      <c r="Y21" s="9"/>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204.75">
      <c r="A41" s="8" t="s">
        <v>53</v>
      </c>
      <c r="B41" s="29" t="s">
        <v>54</v>
      </c>
      <c r="C41" s="8" t="s">
        <v>128</v>
      </c>
      <c r="D41" s="8" t="s">
        <v>167</v>
      </c>
      <c r="E41" s="12" t="s">
        <v>168</v>
      </c>
      <c r="F41" s="8"/>
      <c r="G41" s="8" t="s">
        <v>71</v>
      </c>
      <c r="H41" s="12" t="s">
        <v>169</v>
      </c>
      <c r="I41" s="12" t="s">
        <v>110</v>
      </c>
      <c r="J41" s="12"/>
      <c r="K41" s="13"/>
      <c r="L41" s="13"/>
      <c r="M41" s="13"/>
      <c r="N41" s="13"/>
      <c r="O41" s="13"/>
      <c r="P41" s="60"/>
      <c r="Q41" s="48"/>
      <c r="R41" s="41" t="s">
        <v>1778</v>
      </c>
      <c r="S41" s="13" t="s">
        <v>1779</v>
      </c>
      <c r="T41" s="13" t="s">
        <v>1780</v>
      </c>
      <c r="U41" s="13" t="s">
        <v>1781</v>
      </c>
      <c r="V41" s="13" t="s">
        <v>8</v>
      </c>
      <c r="W41" s="13">
        <v>2024</v>
      </c>
      <c r="X41" s="13" t="s">
        <v>9</v>
      </c>
      <c r="Y41" s="13" t="s">
        <v>1782</v>
      </c>
      <c r="Z41" s="13" t="s">
        <v>1783</v>
      </c>
      <c r="AA41" s="8" t="s">
        <v>1784</v>
      </c>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56.25"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63" hidden="1">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c r="S258" s="8"/>
      <c r="T258" s="8"/>
      <c r="U258" s="8"/>
      <c r="V258" s="8"/>
      <c r="W258" s="8"/>
      <c r="X258" s="8"/>
      <c r="Y258" s="8"/>
      <c r="Z258" s="8"/>
      <c r="AA258" s="8"/>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c r="S260" s="8"/>
      <c r="T260" s="8"/>
      <c r="U260" s="8"/>
      <c r="V260" s="8"/>
      <c r="W260" s="8"/>
      <c r="X260" s="8"/>
      <c r="Y260" s="8"/>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hidden="1">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c r="S265" s="8"/>
      <c r="T265" s="8"/>
      <c r="U265" s="8"/>
      <c r="V265" s="8"/>
      <c r="W265" s="8"/>
      <c r="X265" s="8"/>
      <c r="Y265" s="8"/>
      <c r="Z265" s="8"/>
      <c r="AA265" s="8"/>
    </row>
    <row r="266" spans="1:27" ht="31.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157.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63"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94.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189"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56.25"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56.25"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78.7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63"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31.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56.25"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56.25"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31.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56.25"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56.25"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63"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47.25"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56.25"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F60F2CDD-39A5-4179-AA87-626C85EEC25D}">
    <filterColumn colId="17">
      <customFilters>
        <customFilter operator="notEqual" val=" "/>
      </customFilters>
    </filterColumn>
  </autoFilter>
  <dataValidations count="1">
    <dataValidation type="textLength" operator="lessThan" allowBlank="1" showInputMessage="1" showErrorMessage="1" sqref="P1:P432 AA1:AA432" xr:uid="{FD16ADA2-634D-473C-8D8E-7F089EE587A8}">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64ABAA9F-9559-459F-949B-7A67C2EC565E}">
          <x14:formula1>
            <xm:f>'Input sheet to hide '!$C$3:$C$6</xm:f>
          </x14:formula1>
          <xm:sqref>M4:M156 X3:X432</xm:sqref>
        </x14:dataValidation>
        <x14:dataValidation type="list" allowBlank="1" showInputMessage="1" showErrorMessage="1" xr:uid="{2A69412F-2CFC-4BBF-8BF9-3EB5F419A5AF}">
          <x14:formula1>
            <xm:f>'Input sheet to hide '!$B$3:$B$5</xm:f>
          </x14:formula1>
          <xm:sqref>J4:J156 V3:V432</xm:sqref>
        </x14:dataValidation>
        <x14:dataValidation type="list" allowBlank="1" showInputMessage="1" showErrorMessage="1" xr:uid="{9E9F9CF1-2599-4CB0-BDFC-DCBBDAE450FD}">
          <x14:formula1>
            <xm:f>'CP Response Overview'!#REF!</xm:f>
          </x14:formula1>
          <xm:sqref>F432 F274:F297 F420:F421 F415:F418 F403:F413 F387:F399 F344:F385 F336:F341 F333:F334 F300:F331 F191:F235 F237:F272 F3:F189 U3:U432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D6DC4-78C6-4866-B64E-5325D2B89F84}">
  <dimension ref="A1:T9"/>
  <sheetViews>
    <sheetView workbookViewId="0"/>
  </sheetViews>
  <sheetFormatPr defaultRowHeight="15"/>
  <cols>
    <col min="1" max="1" width="16.42578125" bestFit="1" customWidth="1"/>
    <col min="2" max="2" width="15.5703125" customWidth="1"/>
    <col min="3" max="3" width="13.140625" customWidth="1"/>
    <col min="5" max="5" width="9.140625" style="618"/>
    <col min="15" max="15" width="15" customWidth="1"/>
    <col min="16" max="16" width="17.7109375" customWidth="1"/>
    <col min="17" max="17" width="18.5703125" customWidth="1"/>
    <col min="18" max="18" width="10.85546875" customWidth="1"/>
  </cols>
  <sheetData>
    <row r="1" spans="1:20" s="4" customFormat="1" ht="80.25" customHeight="1">
      <c r="B1" s="4" t="s">
        <v>3993</v>
      </c>
      <c r="D1" s="4" t="s">
        <v>3992</v>
      </c>
      <c r="E1" s="617"/>
      <c r="O1" s="4" t="s">
        <v>3987</v>
      </c>
      <c r="P1" s="4" t="s">
        <v>3988</v>
      </c>
      <c r="Q1" s="4" t="s">
        <v>3989</v>
      </c>
      <c r="R1" s="4" t="s">
        <v>3984</v>
      </c>
      <c r="S1" s="4" t="s">
        <v>3985</v>
      </c>
      <c r="T1" s="4" t="s">
        <v>3986</v>
      </c>
    </row>
    <row r="2" spans="1:20">
      <c r="A2" t="s">
        <v>3976</v>
      </c>
      <c r="B2" s="562">
        <f>COUNTIF('All Overview'!AC3:AC154,"yes")/137</f>
        <v>0.56934306569343063</v>
      </c>
      <c r="C2" t="s">
        <v>3976</v>
      </c>
      <c r="D2" s="562" t="e">
        <f>COUNTIF('All Overview'!#REF!,"no activity")/137</f>
        <v>#REF!</v>
      </c>
      <c r="E2" s="618" t="e">
        <f>COUNTIF('All Overview'!#REF!,"no activity")</f>
        <v>#REF!</v>
      </c>
      <c r="N2" t="str">
        <f>A2</f>
        <v>CSO1</v>
      </c>
      <c r="O2" s="561">
        <v>137</v>
      </c>
      <c r="P2" s="561">
        <v>125</v>
      </c>
      <c r="Q2" s="561">
        <v>90</v>
      </c>
      <c r="R2">
        <v>16</v>
      </c>
      <c r="S2">
        <f>O2+R2</f>
        <v>153</v>
      </c>
      <c r="T2">
        <f>154-1</f>
        <v>153</v>
      </c>
    </row>
    <row r="3" spans="1:20">
      <c r="A3" t="s">
        <v>3977</v>
      </c>
      <c r="B3" s="562">
        <f>COUNTIF('All Overview'!AC155:AC213,"yes")/53</f>
        <v>0.92452830188679247</v>
      </c>
      <c r="C3" t="s">
        <v>3977</v>
      </c>
      <c r="D3" s="562" t="e">
        <f>COUNTIF('All Overview'!#REF!,"no activity")/53</f>
        <v>#REF!</v>
      </c>
      <c r="E3" s="618" t="e">
        <f>COUNTIF('All Overview'!#REF!,"no activity")</f>
        <v>#REF!</v>
      </c>
      <c r="N3" t="str">
        <f t="shared" ref="N3:N9" si="0">A3</f>
        <v>CSO2</v>
      </c>
      <c r="O3" s="561">
        <v>53</v>
      </c>
      <c r="P3" s="561">
        <v>50</v>
      </c>
      <c r="Q3" s="561">
        <v>49</v>
      </c>
      <c r="R3">
        <v>6</v>
      </c>
      <c r="S3">
        <f t="shared" ref="S3:S9" si="1">O3+R3</f>
        <v>59</v>
      </c>
      <c r="T3">
        <f>213-154</f>
        <v>59</v>
      </c>
    </row>
    <row r="4" spans="1:20">
      <c r="A4" t="s">
        <v>3978</v>
      </c>
      <c r="B4" s="562">
        <f>COUNTIF('All Overview'!AC214:AC255,"yes")/38</f>
        <v>0.81578947368421051</v>
      </c>
      <c r="C4" t="s">
        <v>3978</v>
      </c>
      <c r="D4" s="562" t="e">
        <f>COUNTIF('All Overview'!#REF!,"no activity")/38</f>
        <v>#REF!</v>
      </c>
      <c r="E4" s="618" t="e">
        <f>COUNTIF('All Overview'!#REF!,"no activity")</f>
        <v>#REF!</v>
      </c>
      <c r="N4" t="str">
        <f t="shared" si="0"/>
        <v>CSO3</v>
      </c>
      <c r="O4" s="561">
        <v>38</v>
      </c>
      <c r="P4" s="561">
        <v>34</v>
      </c>
      <c r="Q4" s="561">
        <v>37</v>
      </c>
      <c r="R4">
        <v>4</v>
      </c>
      <c r="S4">
        <f t="shared" si="1"/>
        <v>42</v>
      </c>
      <c r="T4">
        <f>255-213</f>
        <v>42</v>
      </c>
    </row>
    <row r="5" spans="1:20">
      <c r="A5" t="s">
        <v>3979</v>
      </c>
      <c r="B5" s="562">
        <f>COUNTIF('All Overview'!AC256:AC318,"yes")/55</f>
        <v>0.67272727272727273</v>
      </c>
      <c r="C5" t="s">
        <v>3979</v>
      </c>
      <c r="D5" s="562" t="e">
        <f>COUNTIF('All Overview'!#REF!,"no activity")/55</f>
        <v>#REF!</v>
      </c>
      <c r="N5" t="str">
        <f t="shared" si="0"/>
        <v>CSO4</v>
      </c>
      <c r="O5" s="561">
        <v>55</v>
      </c>
      <c r="P5" s="561">
        <v>54</v>
      </c>
      <c r="Q5" s="561">
        <v>53</v>
      </c>
      <c r="R5">
        <v>8</v>
      </c>
      <c r="S5">
        <f t="shared" si="1"/>
        <v>63</v>
      </c>
      <c r="T5">
        <f>318-255</f>
        <v>63</v>
      </c>
    </row>
    <row r="6" spans="1:20">
      <c r="A6" t="s">
        <v>3980</v>
      </c>
      <c r="B6" s="562">
        <f>COUNTIF('All Overview'!AC320:AC381,"yes")/54</f>
        <v>0.79629629629629628</v>
      </c>
      <c r="C6" t="s">
        <v>3980</v>
      </c>
      <c r="D6" s="562" t="e">
        <f>COUNTIF('All Overview'!#REF!,"no activity")/54</f>
        <v>#REF!</v>
      </c>
      <c r="N6" t="str">
        <f t="shared" si="0"/>
        <v>CSO5</v>
      </c>
      <c r="O6" s="561">
        <v>54</v>
      </c>
      <c r="P6" s="561">
        <v>54</v>
      </c>
      <c r="Q6" s="561">
        <v>53</v>
      </c>
      <c r="R6">
        <v>9</v>
      </c>
      <c r="S6">
        <f t="shared" si="1"/>
        <v>63</v>
      </c>
      <c r="T6">
        <f>381-318</f>
        <v>63</v>
      </c>
    </row>
    <row r="7" spans="1:20">
      <c r="A7" t="s">
        <v>3981</v>
      </c>
      <c r="B7" s="562">
        <f>COUNTIF('All Overview'!AC382:AC415,"yes")/25</f>
        <v>0.16</v>
      </c>
      <c r="C7" t="s">
        <v>3981</v>
      </c>
      <c r="D7" s="562" t="e">
        <f>COUNTIF('All Overview'!#REF!,"no activity")/25</f>
        <v>#REF!</v>
      </c>
      <c r="N7" t="str">
        <f t="shared" si="0"/>
        <v>CSO6</v>
      </c>
      <c r="O7" s="561">
        <v>25</v>
      </c>
      <c r="P7" s="561">
        <v>24</v>
      </c>
      <c r="Q7" s="561">
        <v>22</v>
      </c>
      <c r="R7">
        <v>9</v>
      </c>
      <c r="S7">
        <f t="shared" si="1"/>
        <v>34</v>
      </c>
      <c r="T7">
        <f>415-381</f>
        <v>34</v>
      </c>
    </row>
    <row r="8" spans="1:20">
      <c r="A8" t="s">
        <v>3982</v>
      </c>
      <c r="B8" s="562">
        <f>COUNTIF('All Overview'!AC417:AC432,"yes")/5</f>
        <v>1</v>
      </c>
      <c r="C8" t="s">
        <v>3982</v>
      </c>
      <c r="D8" s="562" t="e">
        <f>COUNTIF('All Overview'!#REF!,"no activity")/5</f>
        <v>#REF!</v>
      </c>
      <c r="N8" t="str">
        <f t="shared" si="0"/>
        <v>CSO7</v>
      </c>
      <c r="O8" s="561">
        <v>5</v>
      </c>
      <c r="P8" s="561">
        <v>4</v>
      </c>
      <c r="Q8" s="561">
        <v>5</v>
      </c>
      <c r="R8">
        <v>12</v>
      </c>
      <c r="S8">
        <f t="shared" si="1"/>
        <v>17</v>
      </c>
      <c r="T8">
        <f>432-415</f>
        <v>17</v>
      </c>
    </row>
    <row r="9" spans="1:20">
      <c r="A9" t="s">
        <v>3990</v>
      </c>
      <c r="B9" s="562">
        <f>COUNTIF('All Overview'!AC3:AC432,"yes")/367</f>
        <v>0.67302452316076289</v>
      </c>
      <c r="C9" t="s">
        <v>3990</v>
      </c>
      <c r="D9" s="562" t="e">
        <f>COUNTIF('All Overview'!#REF!,"no activity")/367</f>
        <v>#REF!</v>
      </c>
      <c r="N9" t="str">
        <f t="shared" si="0"/>
        <v>All CSOs combined</v>
      </c>
      <c r="O9">
        <f>SUM(O2:O8)</f>
        <v>367</v>
      </c>
      <c r="P9">
        <f>SUM(P2:P8)</f>
        <v>345</v>
      </c>
      <c r="Q9">
        <f>SUM(Q2:Q8)</f>
        <v>309</v>
      </c>
      <c r="R9">
        <f>SUM(R2:R8)</f>
        <v>64</v>
      </c>
      <c r="S9">
        <f t="shared" si="1"/>
        <v>431</v>
      </c>
    </row>
  </sheetData>
  <phoneticPr fontId="69" type="noConversion"/>
  <conditionalFormatting sqref="Q13">
    <cfRule type="colorScale" priority="1">
      <colorScale>
        <cfvo type="min"/>
        <cfvo type="max"/>
        <color rgb="FFFCFCFF"/>
        <color rgb="FF63BE7B"/>
      </colorScale>
    </cfRule>
  </conditionalFormatting>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BEDB1-214B-4B27-88EF-F5E4A34239FA}">
  <sheetPr filterMode="1"/>
  <dimension ref="A1:AY597"/>
  <sheetViews>
    <sheetView workbookViewId="0">
      <selection activeCell="R274" sqref="R274"/>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8"/>
      <c r="M8" s="8"/>
      <c r="N8" s="8"/>
      <c r="O8" s="8"/>
      <c r="P8" s="60"/>
      <c r="R8" s="38"/>
      <c r="S8" s="8"/>
      <c r="T8" s="8"/>
      <c r="U8" s="8"/>
      <c r="V8" s="8"/>
      <c r="W8" s="8"/>
      <c r="X8" s="8"/>
      <c r="Y8" s="8"/>
      <c r="Z8" s="8"/>
      <c r="AA8" s="8"/>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110.25">
      <c r="A12" s="8" t="s">
        <v>53</v>
      </c>
      <c r="B12" s="29" t="s">
        <v>54</v>
      </c>
      <c r="C12" s="8" t="s">
        <v>81</v>
      </c>
      <c r="D12" s="8" t="s">
        <v>86</v>
      </c>
      <c r="E12" s="69" t="s">
        <v>87</v>
      </c>
      <c r="F12" s="8"/>
      <c r="G12" s="8" t="s">
        <v>62</v>
      </c>
      <c r="H12" s="8" t="s">
        <v>84</v>
      </c>
      <c r="I12" s="8" t="s">
        <v>85</v>
      </c>
      <c r="J12" s="8"/>
      <c r="K12" s="8"/>
      <c r="L12" s="8"/>
      <c r="M12" s="8"/>
      <c r="N12" s="8"/>
      <c r="O12" s="8"/>
      <c r="P12" s="60"/>
      <c r="R12" s="38" t="s">
        <v>1785</v>
      </c>
      <c r="S12" s="8" t="s">
        <v>1786</v>
      </c>
      <c r="T12" s="8" t="s">
        <v>1787</v>
      </c>
      <c r="U12" s="8" t="s">
        <v>1788</v>
      </c>
      <c r="V12" s="8" t="s">
        <v>1191</v>
      </c>
      <c r="W12" s="8" t="s">
        <v>1789</v>
      </c>
      <c r="X12" s="8" t="s">
        <v>10</v>
      </c>
      <c r="Y12" s="8" t="s">
        <v>1790</v>
      </c>
      <c r="Z12" s="8" t="s">
        <v>1791</v>
      </c>
      <c r="AA12" s="8" t="s">
        <v>1792</v>
      </c>
    </row>
    <row r="13" spans="1:27" ht="110.25">
      <c r="A13" s="8" t="s">
        <v>53</v>
      </c>
      <c r="B13" s="29" t="s">
        <v>54</v>
      </c>
      <c r="C13" s="8" t="s">
        <v>81</v>
      </c>
      <c r="D13" s="8" t="s">
        <v>88</v>
      </c>
      <c r="E13" s="69" t="s">
        <v>89</v>
      </c>
      <c r="F13" s="8"/>
      <c r="G13" s="8" t="s">
        <v>62</v>
      </c>
      <c r="H13" s="8" t="s">
        <v>84</v>
      </c>
      <c r="I13" s="8" t="s">
        <v>85</v>
      </c>
      <c r="J13" s="8"/>
      <c r="K13" s="8"/>
      <c r="L13" s="8"/>
      <c r="M13" s="8"/>
      <c r="N13" s="8"/>
      <c r="O13" s="8"/>
      <c r="P13" s="60"/>
      <c r="R13" s="38" t="s">
        <v>1785</v>
      </c>
      <c r="S13" s="8" t="s">
        <v>1786</v>
      </c>
      <c r="T13" s="8" t="s">
        <v>1793</v>
      </c>
      <c r="U13" s="8" t="s">
        <v>1788</v>
      </c>
      <c r="V13" s="8" t="s">
        <v>1191</v>
      </c>
      <c r="W13" s="8" t="s">
        <v>1789</v>
      </c>
      <c r="X13" s="8" t="s">
        <v>10</v>
      </c>
      <c r="Y13" s="8" t="s">
        <v>1790</v>
      </c>
      <c r="Z13" s="8" t="s">
        <v>1791</v>
      </c>
      <c r="AA13" s="8" t="s">
        <v>1792</v>
      </c>
    </row>
    <row r="14" spans="1:27" ht="110.25">
      <c r="A14" s="8" t="s">
        <v>53</v>
      </c>
      <c r="B14" s="29" t="s">
        <v>54</v>
      </c>
      <c r="C14" s="8" t="s">
        <v>81</v>
      </c>
      <c r="D14" s="8" t="s">
        <v>90</v>
      </c>
      <c r="E14" s="69" t="s">
        <v>91</v>
      </c>
      <c r="F14" s="8"/>
      <c r="G14" s="8" t="s">
        <v>62</v>
      </c>
      <c r="H14" s="8" t="s">
        <v>84</v>
      </c>
      <c r="I14" s="8" t="s">
        <v>85</v>
      </c>
      <c r="J14" s="8"/>
      <c r="K14" s="8"/>
      <c r="L14" s="8"/>
      <c r="M14" s="8"/>
      <c r="N14" s="8"/>
      <c r="O14" s="8"/>
      <c r="P14" s="60"/>
      <c r="R14" s="38" t="s">
        <v>1785</v>
      </c>
      <c r="S14" s="8" t="s">
        <v>1786</v>
      </c>
      <c r="T14" s="8" t="s">
        <v>1787</v>
      </c>
      <c r="U14" s="8" t="s">
        <v>1788</v>
      </c>
      <c r="V14" s="8" t="s">
        <v>1191</v>
      </c>
      <c r="W14" s="8" t="s">
        <v>1789</v>
      </c>
      <c r="X14" s="8" t="s">
        <v>10</v>
      </c>
      <c r="Y14" s="8" t="s">
        <v>1790</v>
      </c>
      <c r="Z14" s="8" t="s">
        <v>1791</v>
      </c>
      <c r="AA14" s="8" t="s">
        <v>1792</v>
      </c>
    </row>
    <row r="15" spans="1:27" ht="157.5">
      <c r="A15" s="8" t="s">
        <v>53</v>
      </c>
      <c r="B15" s="29" t="s">
        <v>54</v>
      </c>
      <c r="C15" s="8" t="s">
        <v>81</v>
      </c>
      <c r="D15" s="8" t="s">
        <v>92</v>
      </c>
      <c r="E15" s="69" t="s">
        <v>93</v>
      </c>
      <c r="F15" s="8"/>
      <c r="G15" s="8" t="s">
        <v>62</v>
      </c>
      <c r="H15" s="8" t="s">
        <v>84</v>
      </c>
      <c r="I15" s="8" t="s">
        <v>85</v>
      </c>
      <c r="J15" s="8"/>
      <c r="K15" s="8"/>
      <c r="L15" s="8"/>
      <c r="M15" s="8"/>
      <c r="N15" s="8"/>
      <c r="O15" s="8"/>
      <c r="P15" s="60"/>
      <c r="R15" s="38" t="s">
        <v>1785</v>
      </c>
      <c r="S15" s="8" t="s">
        <v>1794</v>
      </c>
      <c r="T15" s="8" t="s">
        <v>1795</v>
      </c>
      <c r="U15" s="8" t="s">
        <v>1788</v>
      </c>
      <c r="V15" s="8" t="s">
        <v>1191</v>
      </c>
      <c r="W15" s="8" t="s">
        <v>1789</v>
      </c>
      <c r="X15" s="8" t="s">
        <v>10</v>
      </c>
      <c r="Y15" s="8" t="s">
        <v>1790</v>
      </c>
      <c r="Z15" s="8" t="s">
        <v>1791</v>
      </c>
      <c r="AA15" s="8" t="s">
        <v>1792</v>
      </c>
    </row>
    <row r="16" spans="1:27" ht="110.25">
      <c r="A16" s="8" t="s">
        <v>53</v>
      </c>
      <c r="B16" s="29" t="s">
        <v>54</v>
      </c>
      <c r="C16" s="8" t="s">
        <v>81</v>
      </c>
      <c r="D16" s="8" t="s">
        <v>94</v>
      </c>
      <c r="E16" s="69" t="s">
        <v>95</v>
      </c>
      <c r="F16" s="8"/>
      <c r="G16" s="8" t="s">
        <v>62</v>
      </c>
      <c r="H16" s="8" t="s">
        <v>84</v>
      </c>
      <c r="I16" s="8" t="s">
        <v>85</v>
      </c>
      <c r="J16" s="8"/>
      <c r="K16" s="8"/>
      <c r="L16" s="8"/>
      <c r="M16" s="8"/>
      <c r="N16" s="8"/>
      <c r="O16" s="8"/>
      <c r="P16" s="60"/>
      <c r="R16" s="38" t="s">
        <v>1785</v>
      </c>
      <c r="S16" s="8" t="s">
        <v>1786</v>
      </c>
      <c r="T16" s="8" t="s">
        <v>1796</v>
      </c>
      <c r="U16" s="8" t="s">
        <v>1788</v>
      </c>
      <c r="V16" s="8" t="s">
        <v>1191</v>
      </c>
      <c r="W16" s="8" t="s">
        <v>1789</v>
      </c>
      <c r="X16" s="8" t="s">
        <v>10</v>
      </c>
      <c r="Y16" s="8" t="s">
        <v>1790</v>
      </c>
      <c r="Z16" s="8" t="s">
        <v>1791</v>
      </c>
      <c r="AA16" s="8" t="s">
        <v>1792</v>
      </c>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hidden="1" customHeight="1">
      <c r="A21" s="8" t="s">
        <v>53</v>
      </c>
      <c r="B21" s="29" t="s">
        <v>54</v>
      </c>
      <c r="C21" s="8" t="s">
        <v>81</v>
      </c>
      <c r="D21" s="8" t="s">
        <v>104</v>
      </c>
      <c r="E21" s="8" t="s">
        <v>105</v>
      </c>
      <c r="F21" s="8"/>
      <c r="G21" s="8" t="s">
        <v>62</v>
      </c>
      <c r="H21" s="8" t="s">
        <v>106</v>
      </c>
      <c r="I21" s="9">
        <v>1</v>
      </c>
      <c r="J21" s="9"/>
      <c r="K21" s="11"/>
      <c r="L21" s="9"/>
      <c r="M21" s="9"/>
      <c r="N21" s="9"/>
      <c r="O21" s="9"/>
      <c r="P21" s="60"/>
      <c r="Q21" s="47"/>
      <c r="R21" s="37"/>
      <c r="S21" s="9"/>
      <c r="T21" s="9"/>
      <c r="U21" s="9"/>
      <c r="V21" s="9"/>
      <c r="W21" s="9"/>
      <c r="X21" s="9"/>
      <c r="Y21" s="9"/>
      <c r="Z21" s="9"/>
      <c r="AA21" s="8"/>
    </row>
    <row r="22" spans="1:27" ht="65.25" customHeight="1">
      <c r="A22" s="8" t="s">
        <v>53</v>
      </c>
      <c r="B22" s="29" t="s">
        <v>54</v>
      </c>
      <c r="C22" s="8" t="s">
        <v>81</v>
      </c>
      <c r="D22" s="8" t="s">
        <v>107</v>
      </c>
      <c r="E22" s="8" t="s">
        <v>108</v>
      </c>
      <c r="F22" s="8"/>
      <c r="G22" s="8" t="s">
        <v>62</v>
      </c>
      <c r="H22" s="8" t="s">
        <v>109</v>
      </c>
      <c r="I22" s="14" t="s">
        <v>110</v>
      </c>
      <c r="J22" s="8"/>
      <c r="K22" s="8"/>
      <c r="L22" s="8"/>
      <c r="M22" s="8"/>
      <c r="N22" s="8"/>
      <c r="O22" s="8"/>
      <c r="P22" s="60"/>
      <c r="R22" s="38" t="s">
        <v>1797</v>
      </c>
      <c r="S22" s="8" t="s">
        <v>1798</v>
      </c>
      <c r="T22" s="8" t="s">
        <v>1793</v>
      </c>
      <c r="U22" s="8" t="s">
        <v>1788</v>
      </c>
      <c r="V22" s="8" t="s">
        <v>1191</v>
      </c>
      <c r="W22" s="8" t="s">
        <v>1789</v>
      </c>
      <c r="X22" s="8" t="s">
        <v>10</v>
      </c>
      <c r="Y22" s="8" t="s">
        <v>1790</v>
      </c>
      <c r="Z22" s="8" t="s">
        <v>1791</v>
      </c>
      <c r="AA22" s="8" t="s">
        <v>1792</v>
      </c>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110.25">
      <c r="A33" s="8" t="s">
        <v>53</v>
      </c>
      <c r="B33" s="29" t="s">
        <v>54</v>
      </c>
      <c r="C33" s="8" t="s">
        <v>128</v>
      </c>
      <c r="D33" s="8" t="s">
        <v>140</v>
      </c>
      <c r="E33" s="69" t="s">
        <v>141</v>
      </c>
      <c r="F33" s="8"/>
      <c r="G33" s="8" t="s">
        <v>131</v>
      </c>
      <c r="H33" s="8" t="s">
        <v>142</v>
      </c>
      <c r="I33" s="8" t="s">
        <v>143</v>
      </c>
      <c r="J33" s="8"/>
      <c r="K33" s="8"/>
      <c r="L33" s="8"/>
      <c r="M33" s="8"/>
      <c r="N33" s="8"/>
      <c r="O33" s="8"/>
      <c r="P33" s="60"/>
      <c r="R33" s="38" t="s">
        <v>1785</v>
      </c>
      <c r="S33" s="8" t="s">
        <v>1786</v>
      </c>
      <c r="T33" s="8" t="s">
        <v>1799</v>
      </c>
      <c r="U33" s="8" t="s">
        <v>1788</v>
      </c>
      <c r="V33" s="8" t="s">
        <v>1191</v>
      </c>
      <c r="W33" s="8" t="s">
        <v>1800</v>
      </c>
      <c r="X33" s="8" t="s">
        <v>10</v>
      </c>
      <c r="Y33" s="8" t="s">
        <v>1790</v>
      </c>
      <c r="Z33" s="8" t="s">
        <v>1791</v>
      </c>
      <c r="AA33" s="8" t="s">
        <v>1792</v>
      </c>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customHeight="1">
      <c r="A52" s="8" t="s">
        <v>53</v>
      </c>
      <c r="B52" s="29" t="s">
        <v>195</v>
      </c>
      <c r="C52" s="8" t="s">
        <v>196</v>
      </c>
      <c r="D52" s="8" t="s">
        <v>202</v>
      </c>
      <c r="E52" s="69" t="s">
        <v>203</v>
      </c>
      <c r="F52" s="8"/>
      <c r="G52" s="8" t="s">
        <v>62</v>
      </c>
      <c r="H52" s="8" t="s">
        <v>204</v>
      </c>
      <c r="I52" s="15">
        <v>1</v>
      </c>
      <c r="J52" s="8"/>
      <c r="K52" s="8"/>
      <c r="L52" s="8"/>
      <c r="M52" s="8"/>
      <c r="N52" s="8"/>
      <c r="O52" s="8"/>
      <c r="P52" s="60"/>
      <c r="R52" s="38" t="s">
        <v>1801</v>
      </c>
      <c r="S52" s="38" t="s">
        <v>1802</v>
      </c>
      <c r="T52" s="8" t="s">
        <v>1803</v>
      </c>
      <c r="U52" s="8" t="s">
        <v>1788</v>
      </c>
      <c r="V52" s="8" t="s">
        <v>1191</v>
      </c>
      <c r="W52" s="8" t="s">
        <v>1789</v>
      </c>
      <c r="X52" s="8" t="s">
        <v>9</v>
      </c>
      <c r="Y52" s="8" t="s">
        <v>1804</v>
      </c>
      <c r="Z52" s="8" t="s">
        <v>1805</v>
      </c>
      <c r="AA52" s="8" t="s">
        <v>1792</v>
      </c>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c r="A153" s="8" t="s">
        <v>53</v>
      </c>
      <c r="B153" s="29" t="s">
        <v>336</v>
      </c>
      <c r="C153" s="8" t="s">
        <v>473</v>
      </c>
      <c r="D153" s="8" t="s">
        <v>474</v>
      </c>
      <c r="E153" s="8" t="s">
        <v>475</v>
      </c>
      <c r="F153" s="8"/>
      <c r="G153" s="8" t="s">
        <v>62</v>
      </c>
      <c r="H153" s="8" t="s">
        <v>476</v>
      </c>
      <c r="I153" s="8" t="s">
        <v>210</v>
      </c>
      <c r="J153" s="8"/>
      <c r="K153" s="8"/>
      <c r="L153" s="8"/>
      <c r="M153" s="8"/>
      <c r="N153" s="8"/>
      <c r="O153" s="8"/>
      <c r="P153" s="60"/>
      <c r="R153" s="38" t="s">
        <v>1806</v>
      </c>
      <c r="S153" s="8" t="s">
        <v>1807</v>
      </c>
      <c r="T153" s="8" t="s">
        <v>1808</v>
      </c>
      <c r="U153" s="8" t="s">
        <v>1809</v>
      </c>
      <c r="V153" s="8" t="s">
        <v>1191</v>
      </c>
      <c r="W153" s="8" t="s">
        <v>1810</v>
      </c>
      <c r="X153" s="8" t="s">
        <v>9</v>
      </c>
      <c r="Y153" s="8" t="s">
        <v>1811</v>
      </c>
      <c r="Z153" s="156">
        <v>86250</v>
      </c>
      <c r="AA153" s="8" t="s">
        <v>1812</v>
      </c>
    </row>
    <row r="154" spans="1:27" ht="94.5">
      <c r="A154" s="8" t="s">
        <v>53</v>
      </c>
      <c r="B154" s="29" t="s">
        <v>336</v>
      </c>
      <c r="C154" s="8" t="s">
        <v>473</v>
      </c>
      <c r="D154" s="8" t="s">
        <v>477</v>
      </c>
      <c r="E154" s="8" t="s">
        <v>478</v>
      </c>
      <c r="F154" s="8"/>
      <c r="G154" s="8" t="s">
        <v>62</v>
      </c>
      <c r="H154" s="8" t="s">
        <v>479</v>
      </c>
      <c r="I154" s="8" t="s">
        <v>210</v>
      </c>
      <c r="J154" s="8"/>
      <c r="K154" s="8"/>
      <c r="L154" s="8"/>
      <c r="M154" s="8"/>
      <c r="N154" s="8"/>
      <c r="O154" s="8"/>
      <c r="P154" s="60"/>
      <c r="R154" s="38" t="s">
        <v>1806</v>
      </c>
      <c r="S154" s="8" t="s">
        <v>1807</v>
      </c>
      <c r="T154" s="8" t="s">
        <v>1808</v>
      </c>
      <c r="U154" s="8" t="s">
        <v>1809</v>
      </c>
      <c r="V154" s="8" t="s">
        <v>1191</v>
      </c>
      <c r="W154" s="8" t="s">
        <v>1810</v>
      </c>
      <c r="X154" s="8" t="s">
        <v>9</v>
      </c>
      <c r="Y154" s="8" t="s">
        <v>1811</v>
      </c>
      <c r="Z154" s="156">
        <v>86250</v>
      </c>
      <c r="AA154" s="8" t="s">
        <v>1812</v>
      </c>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56.25"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63" hidden="1">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c r="S258" s="8"/>
      <c r="T258" s="8"/>
      <c r="U258" s="8"/>
      <c r="V258" s="8"/>
      <c r="W258" s="8"/>
      <c r="X258" s="8"/>
      <c r="Y258" s="8"/>
      <c r="Z258" s="8"/>
      <c r="AA258" s="8"/>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c r="S260" s="8"/>
      <c r="T260" s="8"/>
      <c r="U260" s="8"/>
      <c r="V260" s="8"/>
      <c r="W260" s="8"/>
      <c r="X260" s="8"/>
      <c r="Y260" s="8"/>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hidden="1">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c r="S265" s="8"/>
      <c r="T265" s="8"/>
      <c r="U265" s="8"/>
      <c r="V265" s="8"/>
      <c r="W265" s="8"/>
      <c r="X265" s="8"/>
      <c r="Y265" s="8"/>
      <c r="Z265" s="8"/>
      <c r="AA265" s="8"/>
    </row>
    <row r="266" spans="1:27" ht="31.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157.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63"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94.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189"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56.25"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56.25"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78.7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63"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31.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56.25"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56.25"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31.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56.25"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56.25"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63"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47.25"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56.25"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142BEDB1-214B-4B27-88EF-F5E4A34239FA}">
    <filterColumn colId="17">
      <customFilters>
        <customFilter operator="notEqual" val=" "/>
      </customFilters>
    </filterColumn>
  </autoFilter>
  <dataValidations count="1">
    <dataValidation type="textLength" operator="lessThan" allowBlank="1" showInputMessage="1" showErrorMessage="1" sqref="P1:P432 AA1:AA432" xr:uid="{11CD509F-9B2A-41AC-86E4-8939A921FEDE}">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563F4C93-CF80-467B-AFA5-7DDFE2E8BED1}">
          <x14:formula1>
            <xm:f>'Input sheet to hide '!$B$3:$B$5</xm:f>
          </x14:formula1>
          <xm:sqref>J4:J156 V3:V432</xm:sqref>
        </x14:dataValidation>
        <x14:dataValidation type="list" allowBlank="1" showInputMessage="1" showErrorMessage="1" xr:uid="{CE402179-0F70-4758-844F-3A2046B61EB1}">
          <x14:formula1>
            <xm:f>'Input sheet to hide '!$C$3:$C$6</xm:f>
          </x14:formula1>
          <xm:sqref>M4:M156 X3:X432</xm:sqref>
        </x14:dataValidation>
        <x14:dataValidation type="list" allowBlank="1" showInputMessage="1" showErrorMessage="1" xr:uid="{94DAFEB0-E7C9-477E-B8A7-A22F2AB2BC4F}">
          <x14:formula1>
            <xm:f>'CP Response Overview'!#REF!</xm:f>
          </x14:formula1>
          <xm:sqref>U3:U432 F432 F274:F297 F420:F421 F415:F418 F403:F413 F387:F399 F344:F385 F336:F341 F333:F334 F300:F331 F191:F235 F237:F272 F3:F189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51366-D229-4079-A1EA-828750EF8070}">
  <dimension ref="A1"/>
  <sheetViews>
    <sheetView workbookViewId="0"/>
  </sheetViews>
  <sheetFormatPr defaultRowHeight="1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E0CCA-B18B-47D4-9BB1-08DEA1094F5A}">
  <sheetPr filterMode="1"/>
  <dimension ref="A1:AU597"/>
  <sheetViews>
    <sheetView workbookViewId="0"/>
  </sheetViews>
  <sheetFormatPr defaultColWidth="14.42578125" defaultRowHeight="15"/>
  <cols>
    <col min="1" max="1" width="9.140625" style="163" customWidth="1"/>
    <col min="2" max="2" width="8" style="163" customWidth="1"/>
    <col min="3" max="3" width="13.5703125" style="163" customWidth="1"/>
    <col min="4" max="4" width="10" style="163" customWidth="1"/>
    <col min="5" max="5" width="60.42578125" style="163" customWidth="1"/>
    <col min="6" max="6" width="25.85546875" style="163" customWidth="1"/>
    <col min="7" max="7" width="12.85546875" style="163" customWidth="1"/>
    <col min="8" max="8" width="22.5703125" style="163" customWidth="1"/>
    <col min="9" max="9" width="14.5703125" style="163" customWidth="1"/>
    <col min="10" max="10" width="19.5703125" style="527" customWidth="1"/>
    <col min="11" max="11" width="19.5703125" style="163" customWidth="1"/>
    <col min="12" max="12" width="16.140625" style="527" customWidth="1"/>
    <col min="13" max="13" width="16.140625" style="163" customWidth="1"/>
    <col min="14" max="14" width="20.5703125" style="163" customWidth="1"/>
    <col min="15" max="15" width="19.85546875" style="163" customWidth="1"/>
    <col min="16" max="16" width="20.85546875" style="163" customWidth="1"/>
    <col min="17" max="17" width="9.140625" style="163" hidden="1" customWidth="1"/>
    <col min="18" max="26" width="14.140625" style="163" hidden="1" customWidth="1"/>
    <col min="27" max="27" width="20.85546875" style="163" hidden="1" customWidth="1"/>
    <col min="28" max="47" width="9.140625" style="163" customWidth="1"/>
    <col min="48" max="16384" width="14.42578125" style="163"/>
  </cols>
  <sheetData>
    <row r="1" spans="1:47" ht="15.75" customHeight="1">
      <c r="A1" s="158" t="s">
        <v>28</v>
      </c>
      <c r="B1" s="159" t="s">
        <v>29</v>
      </c>
      <c r="C1" s="158" t="s">
        <v>30</v>
      </c>
      <c r="D1" s="158" t="s">
        <v>31</v>
      </c>
      <c r="E1" s="158" t="s">
        <v>32</v>
      </c>
      <c r="F1" s="158" t="s">
        <v>33</v>
      </c>
      <c r="G1" s="158" t="s">
        <v>34</v>
      </c>
      <c r="H1" s="158" t="s">
        <v>35</v>
      </c>
      <c r="I1" s="158" t="s">
        <v>36</v>
      </c>
      <c r="J1" s="522" t="s">
        <v>37</v>
      </c>
      <c r="K1" s="158" t="s">
        <v>38</v>
      </c>
      <c r="L1" s="522" t="s">
        <v>39</v>
      </c>
      <c r="M1" s="158" t="s">
        <v>40</v>
      </c>
      <c r="N1" s="158" t="s">
        <v>41</v>
      </c>
      <c r="O1" s="158" t="s">
        <v>42</v>
      </c>
      <c r="P1" s="158" t="s">
        <v>43</v>
      </c>
      <c r="Q1" s="160"/>
      <c r="R1" s="161" t="s">
        <v>44</v>
      </c>
      <c r="S1" s="158" t="s">
        <v>45</v>
      </c>
      <c r="T1" s="158" t="s">
        <v>46</v>
      </c>
      <c r="U1" s="158" t="s">
        <v>47</v>
      </c>
      <c r="V1" s="158" t="s">
        <v>48</v>
      </c>
      <c r="W1" s="158" t="s">
        <v>39</v>
      </c>
      <c r="X1" s="158" t="s">
        <v>49</v>
      </c>
      <c r="Y1" s="158" t="s">
        <v>50</v>
      </c>
      <c r="Z1" s="158" t="s">
        <v>51</v>
      </c>
      <c r="AA1" s="158" t="s">
        <v>43</v>
      </c>
      <c r="AB1" s="236"/>
      <c r="AC1" s="236"/>
      <c r="AD1" s="236"/>
      <c r="AE1" s="236"/>
      <c r="AF1" s="236"/>
      <c r="AG1" s="236"/>
      <c r="AH1" s="236"/>
      <c r="AI1" s="236"/>
      <c r="AJ1" s="236"/>
      <c r="AK1" s="236"/>
      <c r="AL1" s="236"/>
      <c r="AM1" s="236"/>
      <c r="AN1" s="236"/>
      <c r="AO1" s="236"/>
      <c r="AP1" s="236"/>
      <c r="AQ1" s="236"/>
      <c r="AR1" s="236"/>
      <c r="AS1" s="236"/>
      <c r="AT1" s="236"/>
      <c r="AU1" s="236"/>
    </row>
    <row r="2" spans="1:47" ht="15.75" hidden="1" customHeight="1">
      <c r="A2" s="164" t="s">
        <v>52</v>
      </c>
      <c r="B2" s="165"/>
      <c r="C2" s="166"/>
      <c r="D2" s="166"/>
      <c r="E2" s="166"/>
      <c r="F2" s="166"/>
      <c r="G2" s="166"/>
      <c r="H2" s="166"/>
      <c r="I2" s="166"/>
      <c r="J2" s="523"/>
      <c r="K2" s="166"/>
      <c r="L2" s="523"/>
      <c r="M2" s="166"/>
      <c r="N2" s="166"/>
      <c r="O2" s="166"/>
      <c r="P2" s="167"/>
      <c r="Q2" s="168"/>
      <c r="R2" s="169"/>
      <c r="S2" s="166"/>
      <c r="T2" s="166"/>
      <c r="U2" s="166"/>
      <c r="V2" s="166"/>
      <c r="W2" s="166"/>
      <c r="X2" s="166"/>
      <c r="Y2" s="166"/>
      <c r="Z2" s="166"/>
      <c r="AA2" s="166"/>
      <c r="AB2" s="236"/>
      <c r="AC2" s="236"/>
      <c r="AD2" s="236"/>
      <c r="AE2" s="236"/>
      <c r="AF2" s="236"/>
      <c r="AG2" s="236"/>
      <c r="AH2" s="236"/>
      <c r="AI2" s="236"/>
      <c r="AJ2" s="236"/>
      <c r="AK2" s="236"/>
      <c r="AL2" s="236"/>
      <c r="AM2" s="236"/>
      <c r="AN2" s="236"/>
      <c r="AO2" s="236"/>
      <c r="AP2" s="236"/>
      <c r="AQ2" s="236"/>
      <c r="AR2" s="236"/>
      <c r="AS2" s="236"/>
      <c r="AT2" s="236"/>
      <c r="AU2" s="236"/>
    </row>
    <row r="3" spans="1:47" ht="15.75" customHeight="1">
      <c r="A3" s="170" t="s">
        <v>53</v>
      </c>
      <c r="B3" s="171" t="s">
        <v>54</v>
      </c>
      <c r="C3" s="170" t="s">
        <v>55</v>
      </c>
      <c r="D3" s="170" t="s">
        <v>56</v>
      </c>
      <c r="E3" s="170" t="s">
        <v>57</v>
      </c>
      <c r="F3" s="172"/>
      <c r="G3" s="172" t="s">
        <v>58</v>
      </c>
      <c r="H3" s="172" t="s">
        <v>59</v>
      </c>
      <c r="I3" s="173">
        <v>1</v>
      </c>
      <c r="J3" s="524">
        <v>1</v>
      </c>
      <c r="K3" s="172"/>
      <c r="L3" s="524"/>
      <c r="M3" s="172"/>
      <c r="N3" s="172"/>
      <c r="O3" s="175"/>
      <c r="P3" s="172"/>
      <c r="Q3" s="176"/>
      <c r="R3" s="177"/>
      <c r="S3" s="172"/>
      <c r="T3" s="172"/>
      <c r="U3" s="172"/>
      <c r="V3" s="172"/>
      <c r="W3" s="172"/>
      <c r="X3" s="172"/>
      <c r="Y3" s="172"/>
      <c r="Z3" s="172"/>
      <c r="AA3" s="172"/>
      <c r="AB3" s="236"/>
      <c r="AC3" s="236"/>
      <c r="AD3" s="236"/>
      <c r="AE3" s="236"/>
      <c r="AF3" s="236"/>
      <c r="AG3" s="236"/>
      <c r="AH3" s="236"/>
      <c r="AI3" s="236"/>
      <c r="AJ3" s="236"/>
      <c r="AK3" s="236"/>
      <c r="AL3" s="236"/>
      <c r="AM3" s="236"/>
      <c r="AN3" s="236"/>
      <c r="AO3" s="236"/>
      <c r="AP3" s="236"/>
      <c r="AQ3" s="236"/>
      <c r="AR3" s="236"/>
      <c r="AS3" s="236"/>
      <c r="AT3" s="236"/>
      <c r="AU3" s="236"/>
    </row>
    <row r="4" spans="1:47" ht="15.75" customHeight="1">
      <c r="A4" s="170" t="s">
        <v>53</v>
      </c>
      <c r="B4" s="171" t="s">
        <v>54</v>
      </c>
      <c r="C4" s="170" t="s">
        <v>55</v>
      </c>
      <c r="D4" s="170" t="s">
        <v>60</v>
      </c>
      <c r="E4" s="178" t="s">
        <v>1813</v>
      </c>
      <c r="F4" s="170" t="s">
        <v>1814</v>
      </c>
      <c r="G4" s="170" t="s">
        <v>62</v>
      </c>
      <c r="H4" s="170" t="s">
        <v>59</v>
      </c>
      <c r="I4" s="179">
        <v>1</v>
      </c>
      <c r="J4" s="525" t="s">
        <v>1090</v>
      </c>
      <c r="K4" s="179"/>
      <c r="L4" s="525"/>
      <c r="M4" s="179"/>
      <c r="N4" s="179"/>
      <c r="O4" s="181"/>
      <c r="P4" s="170"/>
      <c r="Q4" s="182"/>
      <c r="R4" s="183"/>
      <c r="S4" s="179"/>
      <c r="T4" s="179"/>
      <c r="U4" s="179"/>
      <c r="V4" s="179"/>
      <c r="W4" s="179"/>
      <c r="X4" s="179"/>
      <c r="Y4" s="179"/>
      <c r="Z4" s="179"/>
      <c r="AA4" s="170"/>
      <c r="AB4" s="236"/>
      <c r="AC4" s="236"/>
      <c r="AD4" s="236"/>
      <c r="AE4" s="236"/>
      <c r="AF4" s="236"/>
      <c r="AG4" s="236"/>
      <c r="AH4" s="236"/>
      <c r="AI4" s="236"/>
      <c r="AJ4" s="236"/>
      <c r="AK4" s="236"/>
      <c r="AL4" s="236"/>
      <c r="AM4" s="236"/>
      <c r="AN4" s="236"/>
      <c r="AO4" s="236"/>
      <c r="AP4" s="236"/>
      <c r="AQ4" s="236"/>
      <c r="AR4" s="236"/>
      <c r="AS4" s="236"/>
      <c r="AT4" s="236"/>
      <c r="AU4" s="236"/>
    </row>
    <row r="5" spans="1:47" ht="15.75" customHeight="1">
      <c r="A5" s="170" t="s">
        <v>53</v>
      </c>
      <c r="B5" s="171" t="s">
        <v>54</v>
      </c>
      <c r="C5" s="170" t="s">
        <v>55</v>
      </c>
      <c r="D5" s="170" t="s">
        <v>63</v>
      </c>
      <c r="E5" s="178" t="s">
        <v>64</v>
      </c>
      <c r="F5" s="170" t="s">
        <v>1814</v>
      </c>
      <c r="G5" s="170" t="s">
        <v>62</v>
      </c>
      <c r="H5" s="170" t="s">
        <v>59</v>
      </c>
      <c r="I5" s="179">
        <v>1</v>
      </c>
      <c r="J5" s="525" t="s">
        <v>1191</v>
      </c>
      <c r="K5" s="170" t="s">
        <v>1815</v>
      </c>
      <c r="L5" s="525">
        <v>2022</v>
      </c>
      <c r="M5" s="179"/>
      <c r="N5" s="179"/>
      <c r="O5" s="181"/>
      <c r="P5" s="170"/>
      <c r="Q5" s="182"/>
      <c r="R5" s="183"/>
      <c r="S5" s="179"/>
      <c r="T5" s="179"/>
      <c r="U5" s="179"/>
      <c r="V5" s="179"/>
      <c r="W5" s="179"/>
      <c r="X5" s="179"/>
      <c r="Y5" s="179"/>
      <c r="Z5" s="179"/>
      <c r="AA5" s="170"/>
      <c r="AB5" s="236"/>
      <c r="AC5" s="236"/>
      <c r="AD5" s="236"/>
      <c r="AE5" s="236"/>
      <c r="AF5" s="236"/>
      <c r="AG5" s="236"/>
      <c r="AH5" s="236"/>
      <c r="AI5" s="236"/>
      <c r="AJ5" s="236"/>
      <c r="AK5" s="236"/>
      <c r="AL5" s="236"/>
      <c r="AM5" s="236"/>
      <c r="AN5" s="236"/>
      <c r="AO5" s="236"/>
      <c r="AP5" s="236"/>
      <c r="AQ5" s="236"/>
      <c r="AR5" s="236"/>
      <c r="AS5" s="236"/>
      <c r="AT5" s="236"/>
      <c r="AU5" s="236"/>
    </row>
    <row r="6" spans="1:47" ht="15.75" customHeight="1">
      <c r="A6" s="170" t="s">
        <v>53</v>
      </c>
      <c r="B6" s="171" t="s">
        <v>54</v>
      </c>
      <c r="C6" s="170" t="s">
        <v>55</v>
      </c>
      <c r="D6" s="170" t="s">
        <v>65</v>
      </c>
      <c r="E6" s="178" t="s">
        <v>66</v>
      </c>
      <c r="F6" s="170" t="s">
        <v>1816</v>
      </c>
      <c r="G6" s="170" t="s">
        <v>62</v>
      </c>
      <c r="H6" s="170" t="s">
        <v>59</v>
      </c>
      <c r="I6" s="179">
        <v>1</v>
      </c>
      <c r="J6" s="525" t="s">
        <v>1090</v>
      </c>
      <c r="K6" s="170" t="s">
        <v>1817</v>
      </c>
      <c r="L6" s="525"/>
      <c r="M6" s="179"/>
      <c r="N6" s="179"/>
      <c r="O6" s="181"/>
      <c r="P6" s="170" t="s">
        <v>1818</v>
      </c>
      <c r="Q6" s="182"/>
      <c r="R6" s="183"/>
      <c r="S6" s="179"/>
      <c r="T6" s="179"/>
      <c r="U6" s="179"/>
      <c r="V6" s="179"/>
      <c r="W6" s="179"/>
      <c r="X6" s="179"/>
      <c r="Y6" s="179"/>
      <c r="Z6" s="179"/>
      <c r="AA6" s="170"/>
      <c r="AB6" s="236"/>
      <c r="AC6" s="236"/>
      <c r="AD6" s="236"/>
      <c r="AE6" s="236"/>
      <c r="AF6" s="236"/>
      <c r="AG6" s="236"/>
      <c r="AH6" s="236"/>
      <c r="AI6" s="236"/>
      <c r="AJ6" s="236"/>
      <c r="AK6" s="236"/>
      <c r="AL6" s="236"/>
      <c r="AM6" s="236"/>
      <c r="AN6" s="236"/>
      <c r="AO6" s="236"/>
      <c r="AP6" s="236"/>
      <c r="AQ6" s="236"/>
      <c r="AR6" s="236"/>
      <c r="AS6" s="236"/>
      <c r="AT6" s="236"/>
      <c r="AU6" s="236"/>
    </row>
    <row r="7" spans="1:47" ht="15.75" customHeight="1">
      <c r="A7" s="170" t="s">
        <v>53</v>
      </c>
      <c r="B7" s="171" t="s">
        <v>54</v>
      </c>
      <c r="C7" s="170" t="s">
        <v>55</v>
      </c>
      <c r="D7" s="170" t="s">
        <v>67</v>
      </c>
      <c r="E7" s="178" t="s">
        <v>68</v>
      </c>
      <c r="F7" s="170" t="s">
        <v>1816</v>
      </c>
      <c r="G7" s="170" t="s">
        <v>62</v>
      </c>
      <c r="H7" s="170" t="s">
        <v>59</v>
      </c>
      <c r="I7" s="179">
        <v>1</v>
      </c>
      <c r="J7" s="525" t="s">
        <v>1191</v>
      </c>
      <c r="K7" s="170" t="s">
        <v>1819</v>
      </c>
      <c r="L7" s="525">
        <v>2022</v>
      </c>
      <c r="M7" s="170" t="s">
        <v>10</v>
      </c>
      <c r="N7" s="170" t="s">
        <v>1820</v>
      </c>
      <c r="O7" s="181"/>
      <c r="P7" s="170"/>
      <c r="Q7" s="182"/>
      <c r="R7" s="183"/>
      <c r="S7" s="179"/>
      <c r="T7" s="179"/>
      <c r="U7" s="179"/>
      <c r="V7" s="179"/>
      <c r="W7" s="179"/>
      <c r="X7" s="179"/>
      <c r="Y7" s="179"/>
      <c r="Z7" s="179"/>
      <c r="AA7" s="170"/>
      <c r="AB7" s="236"/>
      <c r="AC7" s="236"/>
      <c r="AD7" s="236"/>
      <c r="AE7" s="236"/>
      <c r="AF7" s="236"/>
      <c r="AG7" s="236"/>
      <c r="AH7" s="236"/>
      <c r="AI7" s="236"/>
      <c r="AJ7" s="236"/>
      <c r="AK7" s="236"/>
      <c r="AL7" s="236"/>
      <c r="AM7" s="236"/>
      <c r="AN7" s="236"/>
      <c r="AO7" s="236"/>
      <c r="AP7" s="236"/>
      <c r="AQ7" s="236"/>
      <c r="AR7" s="236"/>
      <c r="AS7" s="236"/>
      <c r="AT7" s="236"/>
      <c r="AU7" s="236"/>
    </row>
    <row r="8" spans="1:47" ht="15.75" hidden="1" customHeight="1">
      <c r="A8" s="170" t="s">
        <v>53</v>
      </c>
      <c r="B8" s="171" t="s">
        <v>54</v>
      </c>
      <c r="C8" s="170" t="s">
        <v>55</v>
      </c>
      <c r="D8" s="170" t="s">
        <v>69</v>
      </c>
      <c r="E8" s="170" t="s">
        <v>70</v>
      </c>
      <c r="F8" s="170"/>
      <c r="G8" s="170" t="s">
        <v>71</v>
      </c>
      <c r="H8" s="170" t="s">
        <v>72</v>
      </c>
      <c r="I8" s="170" t="s">
        <v>73</v>
      </c>
      <c r="J8" s="170"/>
      <c r="K8" s="170"/>
      <c r="L8" s="180"/>
      <c r="M8" s="170"/>
      <c r="N8" s="170"/>
      <c r="O8" s="181"/>
      <c r="P8" s="170"/>
      <c r="Q8" s="176"/>
      <c r="R8" s="184"/>
      <c r="S8" s="170"/>
      <c r="T8" s="170"/>
      <c r="U8" s="170"/>
      <c r="V8" s="170"/>
      <c r="W8" s="170"/>
      <c r="X8" s="170"/>
      <c r="Y8" s="170"/>
      <c r="Z8" s="170"/>
      <c r="AA8" s="170"/>
      <c r="AB8" s="162"/>
      <c r="AC8" s="162"/>
      <c r="AD8" s="162"/>
      <c r="AE8" s="162"/>
      <c r="AF8" s="162"/>
      <c r="AG8" s="162"/>
      <c r="AH8" s="162"/>
      <c r="AI8" s="162"/>
      <c r="AJ8" s="162"/>
      <c r="AK8" s="162"/>
      <c r="AL8" s="162"/>
      <c r="AM8" s="162"/>
      <c r="AN8" s="162"/>
      <c r="AO8" s="162"/>
      <c r="AP8" s="162"/>
      <c r="AQ8" s="162"/>
      <c r="AR8" s="162"/>
      <c r="AS8" s="162"/>
      <c r="AT8" s="162"/>
      <c r="AU8" s="162"/>
    </row>
    <row r="9" spans="1:47" ht="15.75" hidden="1" customHeight="1">
      <c r="A9" s="170" t="s">
        <v>53</v>
      </c>
      <c r="B9" s="171" t="s">
        <v>54</v>
      </c>
      <c r="C9" s="170" t="s">
        <v>55</v>
      </c>
      <c r="D9" s="170" t="s">
        <v>74</v>
      </c>
      <c r="E9" s="170" t="s">
        <v>75</v>
      </c>
      <c r="F9" s="170"/>
      <c r="G9" s="170" t="s">
        <v>71</v>
      </c>
      <c r="H9" s="170" t="s">
        <v>76</v>
      </c>
      <c r="I9" s="170" t="s">
        <v>77</v>
      </c>
      <c r="J9" s="170"/>
      <c r="K9" s="185"/>
      <c r="L9" s="180"/>
      <c r="M9" s="170"/>
      <c r="N9" s="170"/>
      <c r="O9" s="181"/>
      <c r="P9" s="170"/>
      <c r="Q9" s="176"/>
      <c r="R9" s="184"/>
      <c r="S9" s="170"/>
      <c r="T9" s="170"/>
      <c r="U9" s="170"/>
      <c r="V9" s="170"/>
      <c r="W9" s="170"/>
      <c r="X9" s="170"/>
      <c r="Y9" s="170"/>
      <c r="Z9" s="170"/>
      <c r="AA9" s="170"/>
      <c r="AB9" s="162"/>
      <c r="AC9" s="162"/>
      <c r="AD9" s="162"/>
      <c r="AE9" s="162"/>
      <c r="AF9" s="162"/>
      <c r="AG9" s="162"/>
      <c r="AH9" s="162"/>
      <c r="AI9" s="162"/>
      <c r="AJ9" s="162"/>
      <c r="AK9" s="162"/>
      <c r="AL9" s="162"/>
      <c r="AM9" s="162"/>
      <c r="AN9" s="162"/>
      <c r="AO9" s="162"/>
      <c r="AP9" s="162"/>
      <c r="AQ9" s="162"/>
      <c r="AR9" s="162"/>
      <c r="AS9" s="162"/>
      <c r="AT9" s="162"/>
      <c r="AU9" s="162"/>
    </row>
    <row r="10" spans="1:47" ht="15.75" customHeight="1">
      <c r="A10" s="170" t="s">
        <v>53</v>
      </c>
      <c r="B10" s="171" t="s">
        <v>54</v>
      </c>
      <c r="C10" s="170" t="s">
        <v>55</v>
      </c>
      <c r="D10" s="170" t="s">
        <v>78</v>
      </c>
      <c r="E10" s="170" t="s">
        <v>79</v>
      </c>
      <c r="F10" s="170" t="s">
        <v>1821</v>
      </c>
      <c r="G10" s="170" t="s">
        <v>62</v>
      </c>
      <c r="H10" s="170" t="s">
        <v>80</v>
      </c>
      <c r="I10" s="170">
        <v>5</v>
      </c>
      <c r="J10" s="525" t="s">
        <v>1090</v>
      </c>
      <c r="K10" s="170" t="s">
        <v>1822</v>
      </c>
      <c r="L10" s="526"/>
      <c r="M10" s="170"/>
      <c r="N10" s="170"/>
      <c r="O10" s="186"/>
      <c r="P10" s="170" t="s">
        <v>1823</v>
      </c>
      <c r="Q10" s="176"/>
      <c r="R10" s="184"/>
      <c r="S10" s="170"/>
      <c r="T10" s="170"/>
      <c r="U10" s="170"/>
      <c r="V10" s="170"/>
      <c r="W10" s="170"/>
      <c r="X10" s="170"/>
      <c r="Y10" s="170"/>
      <c r="Z10" s="170"/>
      <c r="AA10" s="170"/>
      <c r="AB10" s="236"/>
      <c r="AC10" s="236"/>
      <c r="AD10" s="236"/>
      <c r="AE10" s="236"/>
      <c r="AF10" s="236"/>
      <c r="AG10" s="236"/>
      <c r="AH10" s="236"/>
      <c r="AI10" s="236"/>
      <c r="AJ10" s="236"/>
      <c r="AK10" s="236"/>
      <c r="AL10" s="236"/>
      <c r="AM10" s="236"/>
      <c r="AN10" s="236"/>
      <c r="AO10" s="236"/>
      <c r="AP10" s="236"/>
      <c r="AQ10" s="236"/>
      <c r="AR10" s="236"/>
      <c r="AS10" s="236"/>
      <c r="AT10" s="236"/>
      <c r="AU10" s="236"/>
    </row>
    <row r="11" spans="1:47" ht="15.75" customHeight="1">
      <c r="A11" s="170" t="s">
        <v>53</v>
      </c>
      <c r="B11" s="171" t="s">
        <v>54</v>
      </c>
      <c r="C11" s="170" t="s">
        <v>81</v>
      </c>
      <c r="D11" s="170" t="s">
        <v>82</v>
      </c>
      <c r="E11" s="170" t="s">
        <v>83</v>
      </c>
      <c r="F11" s="172"/>
      <c r="G11" s="172" t="s">
        <v>62</v>
      </c>
      <c r="H11" s="172" t="s">
        <v>84</v>
      </c>
      <c r="I11" s="172" t="s">
        <v>85</v>
      </c>
      <c r="J11" s="524">
        <v>1</v>
      </c>
      <c r="K11" s="172"/>
      <c r="L11" s="524"/>
      <c r="M11" s="172"/>
      <c r="N11" s="172"/>
      <c r="O11" s="175"/>
      <c r="P11" s="172"/>
      <c r="Q11" s="176"/>
      <c r="R11" s="177"/>
      <c r="S11" s="172"/>
      <c r="T11" s="172"/>
      <c r="U11" s="172"/>
      <c r="V11" s="172"/>
      <c r="W11" s="172"/>
      <c r="X11" s="172"/>
      <c r="Y11" s="172"/>
      <c r="Z11" s="172"/>
      <c r="AA11" s="172"/>
      <c r="AB11" s="236"/>
      <c r="AC11" s="236"/>
      <c r="AD11" s="236"/>
      <c r="AE11" s="236"/>
      <c r="AF11" s="236"/>
      <c r="AG11" s="236"/>
      <c r="AH11" s="236"/>
      <c r="AI11" s="236"/>
      <c r="AJ11" s="236"/>
      <c r="AK11" s="236"/>
      <c r="AL11" s="236"/>
      <c r="AM11" s="236"/>
      <c r="AN11" s="236"/>
      <c r="AO11" s="236"/>
      <c r="AP11" s="236"/>
      <c r="AQ11" s="236"/>
      <c r="AR11" s="236"/>
      <c r="AS11" s="236"/>
      <c r="AT11" s="236"/>
      <c r="AU11" s="236"/>
    </row>
    <row r="12" spans="1:47" ht="15.75" customHeight="1">
      <c r="A12" s="170" t="s">
        <v>53</v>
      </c>
      <c r="B12" s="171" t="s">
        <v>54</v>
      </c>
      <c r="C12" s="170" t="s">
        <v>81</v>
      </c>
      <c r="D12" s="170" t="s">
        <v>86</v>
      </c>
      <c r="E12" s="178" t="s">
        <v>87</v>
      </c>
      <c r="F12" s="170" t="s">
        <v>1824</v>
      </c>
      <c r="G12" s="170" t="s">
        <v>62</v>
      </c>
      <c r="H12" s="170" t="s">
        <v>84</v>
      </c>
      <c r="I12" s="170" t="s">
        <v>85</v>
      </c>
      <c r="J12" s="525" t="s">
        <v>1090</v>
      </c>
      <c r="K12" s="170" t="s">
        <v>1825</v>
      </c>
      <c r="L12" s="525"/>
      <c r="M12" s="170"/>
      <c r="N12" s="170"/>
      <c r="O12" s="181"/>
      <c r="P12" s="170" t="s">
        <v>1826</v>
      </c>
      <c r="Q12" s="176"/>
      <c r="R12" s="184"/>
      <c r="S12" s="170"/>
      <c r="T12" s="170"/>
      <c r="U12" s="170"/>
      <c r="V12" s="170"/>
      <c r="W12" s="170"/>
      <c r="X12" s="170"/>
      <c r="Y12" s="170"/>
      <c r="Z12" s="170"/>
      <c r="AA12" s="170"/>
      <c r="AB12" s="236"/>
      <c r="AC12" s="236"/>
      <c r="AD12" s="236"/>
      <c r="AE12" s="236"/>
      <c r="AF12" s="236"/>
      <c r="AG12" s="236"/>
      <c r="AH12" s="236"/>
      <c r="AI12" s="236"/>
      <c r="AJ12" s="236"/>
      <c r="AK12" s="236"/>
      <c r="AL12" s="236"/>
      <c r="AM12" s="236"/>
      <c r="AN12" s="236"/>
      <c r="AO12" s="236"/>
      <c r="AP12" s="236"/>
      <c r="AQ12" s="236"/>
      <c r="AR12" s="236"/>
      <c r="AS12" s="236"/>
      <c r="AT12" s="236"/>
      <c r="AU12" s="236"/>
    </row>
    <row r="13" spans="1:47" ht="15.75" customHeight="1">
      <c r="A13" s="170" t="s">
        <v>53</v>
      </c>
      <c r="B13" s="171" t="s">
        <v>54</v>
      </c>
      <c r="C13" s="170" t="s">
        <v>81</v>
      </c>
      <c r="D13" s="170" t="s">
        <v>88</v>
      </c>
      <c r="E13" s="178" t="s">
        <v>89</v>
      </c>
      <c r="F13" s="170" t="s">
        <v>1824</v>
      </c>
      <c r="G13" s="170" t="s">
        <v>62</v>
      </c>
      <c r="H13" s="170" t="s">
        <v>84</v>
      </c>
      <c r="I13" s="170" t="s">
        <v>85</v>
      </c>
      <c r="J13" s="525" t="s">
        <v>1090</v>
      </c>
      <c r="K13" s="170" t="s">
        <v>1827</v>
      </c>
      <c r="L13" s="525"/>
      <c r="M13" s="170"/>
      <c r="N13" s="170"/>
      <c r="O13" s="181"/>
      <c r="P13" s="170" t="s">
        <v>1828</v>
      </c>
      <c r="Q13" s="176"/>
      <c r="R13" s="184"/>
      <c r="S13" s="170"/>
      <c r="T13" s="170"/>
      <c r="U13" s="170"/>
      <c r="V13" s="170"/>
      <c r="W13" s="170"/>
      <c r="X13" s="170"/>
      <c r="Y13" s="170"/>
      <c r="Z13" s="170"/>
      <c r="AA13" s="170"/>
      <c r="AB13" s="236"/>
      <c r="AC13" s="236"/>
      <c r="AD13" s="236"/>
      <c r="AE13" s="236"/>
      <c r="AF13" s="236"/>
      <c r="AG13" s="236"/>
      <c r="AH13" s="236"/>
      <c r="AI13" s="236"/>
      <c r="AJ13" s="236"/>
      <c r="AK13" s="236"/>
      <c r="AL13" s="236"/>
      <c r="AM13" s="236"/>
      <c r="AN13" s="236"/>
      <c r="AO13" s="236"/>
      <c r="AP13" s="236"/>
      <c r="AQ13" s="236"/>
      <c r="AR13" s="236"/>
      <c r="AS13" s="236"/>
      <c r="AT13" s="236"/>
      <c r="AU13" s="236"/>
    </row>
    <row r="14" spans="1:47" ht="15.75" customHeight="1">
      <c r="A14" s="170" t="s">
        <v>53</v>
      </c>
      <c r="B14" s="171" t="s">
        <v>54</v>
      </c>
      <c r="C14" s="170" t="s">
        <v>81</v>
      </c>
      <c r="D14" s="170" t="s">
        <v>90</v>
      </c>
      <c r="E14" s="178" t="s">
        <v>91</v>
      </c>
      <c r="F14" s="170" t="s">
        <v>1824</v>
      </c>
      <c r="G14" s="170" t="s">
        <v>62</v>
      </c>
      <c r="H14" s="170" t="s">
        <v>84</v>
      </c>
      <c r="I14" s="170" t="s">
        <v>85</v>
      </c>
      <c r="J14" s="525" t="s">
        <v>8</v>
      </c>
      <c r="K14" s="170" t="s">
        <v>1829</v>
      </c>
      <c r="L14" s="525">
        <v>2023</v>
      </c>
      <c r="M14" s="170" t="s">
        <v>10</v>
      </c>
      <c r="N14" s="170" t="s">
        <v>1829</v>
      </c>
      <c r="O14" s="181"/>
      <c r="P14" s="170"/>
      <c r="Q14" s="176"/>
      <c r="R14" s="184"/>
      <c r="S14" s="170"/>
      <c r="T14" s="170"/>
      <c r="U14" s="170"/>
      <c r="V14" s="170"/>
      <c r="W14" s="170"/>
      <c r="X14" s="170"/>
      <c r="Y14" s="170"/>
      <c r="Z14" s="170"/>
      <c r="AA14" s="170"/>
      <c r="AB14" s="236"/>
      <c r="AC14" s="236"/>
      <c r="AD14" s="236"/>
      <c r="AE14" s="236"/>
      <c r="AF14" s="236"/>
      <c r="AG14" s="236"/>
      <c r="AH14" s="236"/>
      <c r="AI14" s="236"/>
      <c r="AJ14" s="236"/>
      <c r="AK14" s="236"/>
      <c r="AL14" s="236"/>
      <c r="AM14" s="236"/>
      <c r="AN14" s="236"/>
      <c r="AO14" s="236"/>
      <c r="AP14" s="236"/>
      <c r="AQ14" s="236"/>
      <c r="AR14" s="236"/>
      <c r="AS14" s="236"/>
      <c r="AT14" s="236"/>
      <c r="AU14" s="236"/>
    </row>
    <row r="15" spans="1:47" ht="15.75" customHeight="1">
      <c r="A15" s="170" t="s">
        <v>53</v>
      </c>
      <c r="B15" s="171" t="s">
        <v>54</v>
      </c>
      <c r="C15" s="170" t="s">
        <v>81</v>
      </c>
      <c r="D15" s="170" t="s">
        <v>92</v>
      </c>
      <c r="E15" s="178" t="s">
        <v>93</v>
      </c>
      <c r="F15" s="170" t="s">
        <v>1824</v>
      </c>
      <c r="G15" s="170" t="s">
        <v>62</v>
      </c>
      <c r="H15" s="170" t="s">
        <v>84</v>
      </c>
      <c r="I15" s="170" t="s">
        <v>85</v>
      </c>
      <c r="J15" s="525" t="s">
        <v>8</v>
      </c>
      <c r="K15" s="170" t="s">
        <v>1830</v>
      </c>
      <c r="L15" s="525">
        <v>2023</v>
      </c>
      <c r="M15" s="170" t="s">
        <v>10</v>
      </c>
      <c r="N15" s="170" t="s">
        <v>1</v>
      </c>
      <c r="O15" s="181"/>
      <c r="P15" s="170"/>
      <c r="Q15" s="176"/>
      <c r="R15" s="184"/>
      <c r="S15" s="170"/>
      <c r="T15" s="170"/>
      <c r="U15" s="170"/>
      <c r="V15" s="170"/>
      <c r="W15" s="170"/>
      <c r="X15" s="170"/>
      <c r="Y15" s="170"/>
      <c r="Z15" s="170"/>
      <c r="AA15" s="170"/>
      <c r="AB15" s="236"/>
      <c r="AC15" s="236"/>
      <c r="AD15" s="236"/>
      <c r="AE15" s="236"/>
      <c r="AF15" s="236"/>
      <c r="AG15" s="236"/>
      <c r="AH15" s="236"/>
      <c r="AI15" s="236"/>
      <c r="AJ15" s="236"/>
      <c r="AK15" s="236"/>
      <c r="AL15" s="236"/>
      <c r="AM15" s="236"/>
      <c r="AN15" s="236"/>
      <c r="AO15" s="236"/>
      <c r="AP15" s="236"/>
      <c r="AQ15" s="236"/>
      <c r="AR15" s="236"/>
      <c r="AS15" s="236"/>
      <c r="AT15" s="236"/>
      <c r="AU15" s="236"/>
    </row>
    <row r="16" spans="1:47" ht="15.75" customHeight="1">
      <c r="A16" s="170" t="s">
        <v>53</v>
      </c>
      <c r="B16" s="171" t="s">
        <v>54</v>
      </c>
      <c r="C16" s="170" t="s">
        <v>81</v>
      </c>
      <c r="D16" s="170" t="s">
        <v>94</v>
      </c>
      <c r="E16" s="178" t="s">
        <v>95</v>
      </c>
      <c r="F16" s="170" t="s">
        <v>1824</v>
      </c>
      <c r="G16" s="170" t="s">
        <v>62</v>
      </c>
      <c r="H16" s="170" t="s">
        <v>84</v>
      </c>
      <c r="I16" s="170" t="s">
        <v>85</v>
      </c>
      <c r="J16" s="525" t="s">
        <v>1090</v>
      </c>
      <c r="K16" s="170" t="s">
        <v>1831</v>
      </c>
      <c r="L16" s="525"/>
      <c r="M16" s="170"/>
      <c r="N16" s="170"/>
      <c r="O16" s="181"/>
      <c r="P16" s="170"/>
      <c r="Q16" s="176"/>
      <c r="R16" s="184"/>
      <c r="S16" s="170"/>
      <c r="T16" s="170"/>
      <c r="U16" s="170"/>
      <c r="V16" s="170"/>
      <c r="W16" s="170"/>
      <c r="X16" s="170"/>
      <c r="Y16" s="170"/>
      <c r="Z16" s="170"/>
      <c r="AA16" s="170"/>
      <c r="AB16" s="236"/>
      <c r="AC16" s="236"/>
      <c r="AD16" s="236"/>
      <c r="AE16" s="236"/>
      <c r="AF16" s="236"/>
      <c r="AG16" s="236"/>
      <c r="AH16" s="236"/>
      <c r="AI16" s="236"/>
      <c r="AJ16" s="236"/>
      <c r="AK16" s="236"/>
      <c r="AL16" s="236"/>
      <c r="AM16" s="236"/>
      <c r="AN16" s="236"/>
      <c r="AO16" s="236"/>
      <c r="AP16" s="236"/>
      <c r="AQ16" s="236"/>
      <c r="AR16" s="236"/>
      <c r="AS16" s="236"/>
      <c r="AT16" s="236"/>
      <c r="AU16" s="236"/>
    </row>
    <row r="17" spans="1:47" ht="15.75" customHeight="1">
      <c r="A17" s="170" t="s">
        <v>53</v>
      </c>
      <c r="B17" s="171" t="s">
        <v>54</v>
      </c>
      <c r="C17" s="170" t="s">
        <v>81</v>
      </c>
      <c r="D17" s="170" t="s">
        <v>96</v>
      </c>
      <c r="E17" s="178" t="s">
        <v>97</v>
      </c>
      <c r="F17" s="170" t="s">
        <v>1816</v>
      </c>
      <c r="G17" s="170" t="s">
        <v>62</v>
      </c>
      <c r="H17" s="170" t="s">
        <v>84</v>
      </c>
      <c r="I17" s="170" t="s">
        <v>85</v>
      </c>
      <c r="J17" s="525" t="s">
        <v>1090</v>
      </c>
      <c r="K17" s="170" t="s">
        <v>1832</v>
      </c>
      <c r="L17" s="525"/>
      <c r="M17" s="170"/>
      <c r="N17" s="170"/>
      <c r="O17" s="181"/>
      <c r="P17" s="170"/>
      <c r="Q17" s="176"/>
      <c r="R17" s="184"/>
      <c r="S17" s="170"/>
      <c r="T17" s="170"/>
      <c r="U17" s="170"/>
      <c r="V17" s="170"/>
      <c r="W17" s="170"/>
      <c r="X17" s="170"/>
      <c r="Y17" s="170"/>
      <c r="Z17" s="170"/>
      <c r="AA17" s="170"/>
      <c r="AB17" s="236"/>
      <c r="AC17" s="236"/>
      <c r="AD17" s="236"/>
      <c r="AE17" s="236"/>
      <c r="AF17" s="236"/>
      <c r="AG17" s="236"/>
      <c r="AH17" s="236"/>
      <c r="AI17" s="236"/>
      <c r="AJ17" s="236"/>
      <c r="AK17" s="236"/>
      <c r="AL17" s="236"/>
      <c r="AM17" s="236"/>
      <c r="AN17" s="236"/>
      <c r="AO17" s="236"/>
      <c r="AP17" s="236"/>
      <c r="AQ17" s="236"/>
      <c r="AR17" s="236"/>
      <c r="AS17" s="236"/>
      <c r="AT17" s="236"/>
      <c r="AU17" s="236"/>
    </row>
    <row r="18" spans="1:47" ht="15.75" customHeight="1">
      <c r="A18" s="170" t="s">
        <v>53</v>
      </c>
      <c r="B18" s="171" t="s">
        <v>54</v>
      </c>
      <c r="C18" s="170" t="s">
        <v>81</v>
      </c>
      <c r="D18" s="170" t="s">
        <v>98</v>
      </c>
      <c r="E18" s="178" t="s">
        <v>99</v>
      </c>
      <c r="F18" s="170" t="s">
        <v>1816</v>
      </c>
      <c r="G18" s="170" t="s">
        <v>62</v>
      </c>
      <c r="H18" s="170" t="s">
        <v>84</v>
      </c>
      <c r="I18" s="170" t="s">
        <v>85</v>
      </c>
      <c r="J18" s="525" t="s">
        <v>1090</v>
      </c>
      <c r="K18" s="170" t="s">
        <v>1833</v>
      </c>
      <c r="L18" s="525"/>
      <c r="M18" s="170"/>
      <c r="N18" s="170"/>
      <c r="O18" s="181"/>
      <c r="P18" s="170"/>
      <c r="Q18" s="176"/>
      <c r="R18" s="184"/>
      <c r="S18" s="170"/>
      <c r="T18" s="170"/>
      <c r="U18" s="170"/>
      <c r="V18" s="170"/>
      <c r="W18" s="170"/>
      <c r="X18" s="170"/>
      <c r="Y18" s="170"/>
      <c r="Z18" s="170"/>
      <c r="AA18" s="170"/>
      <c r="AB18" s="236"/>
      <c r="AC18" s="236"/>
      <c r="AD18" s="236"/>
      <c r="AE18" s="236"/>
      <c r="AF18" s="236"/>
      <c r="AG18" s="236"/>
      <c r="AH18" s="236"/>
      <c r="AI18" s="236"/>
      <c r="AJ18" s="236"/>
      <c r="AK18" s="236"/>
      <c r="AL18" s="236"/>
      <c r="AM18" s="236"/>
      <c r="AN18" s="236"/>
      <c r="AO18" s="236"/>
      <c r="AP18" s="236"/>
      <c r="AQ18" s="236"/>
      <c r="AR18" s="236"/>
      <c r="AS18" s="236"/>
      <c r="AT18" s="236"/>
      <c r="AU18" s="236"/>
    </row>
    <row r="19" spans="1:47" ht="15.75" customHeight="1">
      <c r="A19" s="170" t="s">
        <v>53</v>
      </c>
      <c r="B19" s="171" t="s">
        <v>54</v>
      </c>
      <c r="C19" s="170" t="s">
        <v>81</v>
      </c>
      <c r="D19" s="170" t="s">
        <v>100</v>
      </c>
      <c r="E19" s="178" t="s">
        <v>101</v>
      </c>
      <c r="F19" s="170" t="s">
        <v>1816</v>
      </c>
      <c r="G19" s="170" t="s">
        <v>62</v>
      </c>
      <c r="H19" s="170" t="s">
        <v>84</v>
      </c>
      <c r="I19" s="170" t="s">
        <v>85</v>
      </c>
      <c r="J19" s="525" t="s">
        <v>1090</v>
      </c>
      <c r="K19" s="170" t="s">
        <v>1832</v>
      </c>
      <c r="L19" s="525"/>
      <c r="M19" s="170"/>
      <c r="N19" s="170"/>
      <c r="O19" s="181"/>
      <c r="P19" s="170"/>
      <c r="Q19" s="176"/>
      <c r="R19" s="184"/>
      <c r="S19" s="170"/>
      <c r="T19" s="170"/>
      <c r="U19" s="170"/>
      <c r="V19" s="170"/>
      <c r="W19" s="170"/>
      <c r="X19" s="170"/>
      <c r="Y19" s="170"/>
      <c r="Z19" s="170"/>
      <c r="AA19" s="170"/>
      <c r="AB19" s="236"/>
      <c r="AC19" s="236"/>
      <c r="AD19" s="236"/>
      <c r="AE19" s="236"/>
      <c r="AF19" s="236"/>
      <c r="AG19" s="236"/>
      <c r="AH19" s="236"/>
      <c r="AI19" s="236"/>
      <c r="AJ19" s="236"/>
      <c r="AK19" s="236"/>
      <c r="AL19" s="236"/>
      <c r="AM19" s="236"/>
      <c r="AN19" s="236"/>
      <c r="AO19" s="236"/>
      <c r="AP19" s="236"/>
      <c r="AQ19" s="236"/>
      <c r="AR19" s="236"/>
      <c r="AS19" s="236"/>
      <c r="AT19" s="236"/>
      <c r="AU19" s="236"/>
    </row>
    <row r="20" spans="1:47" ht="15.75" customHeight="1">
      <c r="A20" s="170" t="s">
        <v>53</v>
      </c>
      <c r="B20" s="171" t="s">
        <v>54</v>
      </c>
      <c r="C20" s="170" t="s">
        <v>81</v>
      </c>
      <c r="D20" s="170" t="s">
        <v>102</v>
      </c>
      <c r="E20" s="178" t="s">
        <v>103</v>
      </c>
      <c r="F20" s="170" t="s">
        <v>1824</v>
      </c>
      <c r="G20" s="170" t="s">
        <v>62</v>
      </c>
      <c r="H20" s="170" t="s">
        <v>84</v>
      </c>
      <c r="I20" s="170" t="s">
        <v>85</v>
      </c>
      <c r="J20" s="525" t="s">
        <v>8</v>
      </c>
      <c r="K20" s="179"/>
      <c r="L20" s="525">
        <v>2023</v>
      </c>
      <c r="M20" s="170" t="s">
        <v>10</v>
      </c>
      <c r="N20" s="170" t="s">
        <v>1834</v>
      </c>
      <c r="O20" s="181"/>
      <c r="P20" s="170" t="s">
        <v>1835</v>
      </c>
      <c r="Q20" s="176"/>
      <c r="R20" s="184"/>
      <c r="S20" s="170"/>
      <c r="T20" s="170"/>
      <c r="U20" s="170"/>
      <c r="V20" s="170"/>
      <c r="W20" s="170"/>
      <c r="X20" s="170"/>
      <c r="Y20" s="170"/>
      <c r="Z20" s="170"/>
      <c r="AA20" s="170"/>
      <c r="AB20" s="236"/>
      <c r="AC20" s="236"/>
      <c r="AD20" s="236"/>
      <c r="AE20" s="236"/>
      <c r="AF20" s="236"/>
      <c r="AG20" s="236"/>
      <c r="AH20" s="236"/>
      <c r="AI20" s="236"/>
      <c r="AJ20" s="236"/>
      <c r="AK20" s="236"/>
      <c r="AL20" s="236"/>
      <c r="AM20" s="236"/>
      <c r="AN20" s="236"/>
      <c r="AO20" s="236"/>
      <c r="AP20" s="236"/>
      <c r="AQ20" s="236"/>
      <c r="AR20" s="236"/>
      <c r="AS20" s="236"/>
      <c r="AT20" s="236"/>
      <c r="AU20" s="236"/>
    </row>
    <row r="21" spans="1:47" ht="142.5" customHeight="1">
      <c r="A21" s="170" t="s">
        <v>53</v>
      </c>
      <c r="B21" s="171" t="s">
        <v>54</v>
      </c>
      <c r="C21" s="170" t="s">
        <v>81</v>
      </c>
      <c r="D21" s="170" t="s">
        <v>104</v>
      </c>
      <c r="E21" s="170" t="s">
        <v>105</v>
      </c>
      <c r="F21" s="170" t="s">
        <v>1814</v>
      </c>
      <c r="G21" s="170" t="s">
        <v>62</v>
      </c>
      <c r="H21" s="170" t="s">
        <v>106</v>
      </c>
      <c r="I21" s="179">
        <v>1</v>
      </c>
      <c r="J21" s="525" t="s">
        <v>8</v>
      </c>
      <c r="K21" s="187"/>
      <c r="L21" s="525">
        <v>2023</v>
      </c>
      <c r="M21" s="170" t="s">
        <v>10</v>
      </c>
      <c r="N21" s="170" t="s">
        <v>1836</v>
      </c>
      <c r="O21" s="181"/>
      <c r="P21" s="170" t="s">
        <v>1837</v>
      </c>
      <c r="Q21" s="182"/>
      <c r="R21" s="183"/>
      <c r="S21" s="179"/>
      <c r="T21" s="179"/>
      <c r="U21" s="179"/>
      <c r="V21" s="179"/>
      <c r="W21" s="179"/>
      <c r="X21" s="179"/>
      <c r="Y21" s="179"/>
      <c r="Z21" s="179"/>
      <c r="AA21" s="170"/>
      <c r="AB21" s="236"/>
      <c r="AC21" s="236"/>
      <c r="AD21" s="236"/>
      <c r="AE21" s="236"/>
      <c r="AF21" s="236"/>
      <c r="AG21" s="236"/>
      <c r="AH21" s="236"/>
      <c r="AI21" s="236"/>
      <c r="AJ21" s="236"/>
      <c r="AK21" s="236"/>
      <c r="AL21" s="236"/>
      <c r="AM21" s="236"/>
      <c r="AN21" s="236"/>
      <c r="AO21" s="236"/>
      <c r="AP21" s="236"/>
      <c r="AQ21" s="236"/>
      <c r="AR21" s="236"/>
      <c r="AS21" s="236"/>
      <c r="AT21" s="236"/>
      <c r="AU21" s="236"/>
    </row>
    <row r="22" spans="1:47" ht="87.75" customHeight="1">
      <c r="A22" s="170" t="s">
        <v>53</v>
      </c>
      <c r="B22" s="171" t="s">
        <v>54</v>
      </c>
      <c r="C22" s="170" t="s">
        <v>81</v>
      </c>
      <c r="D22" s="170" t="s">
        <v>107</v>
      </c>
      <c r="E22" s="170" t="s">
        <v>108</v>
      </c>
      <c r="F22" s="170" t="s">
        <v>1824</v>
      </c>
      <c r="G22" s="170" t="s">
        <v>62</v>
      </c>
      <c r="H22" s="170" t="s">
        <v>109</v>
      </c>
      <c r="I22" s="188" t="s">
        <v>110</v>
      </c>
      <c r="J22" s="525" t="s">
        <v>1090</v>
      </c>
      <c r="K22" s="170" t="s">
        <v>1838</v>
      </c>
      <c r="L22" s="525"/>
      <c r="M22" s="170"/>
      <c r="N22" s="170"/>
      <c r="O22" s="181"/>
      <c r="P22" s="170"/>
      <c r="Q22" s="176"/>
      <c r="R22" s="184"/>
      <c r="S22" s="170"/>
      <c r="T22" s="170"/>
      <c r="U22" s="170"/>
      <c r="V22" s="170"/>
      <c r="W22" s="170"/>
      <c r="X22" s="170"/>
      <c r="Y22" s="170"/>
      <c r="Z22" s="170"/>
      <c r="AA22" s="170"/>
      <c r="AB22" s="236"/>
      <c r="AC22" s="236"/>
      <c r="AD22" s="236"/>
      <c r="AE22" s="236"/>
      <c r="AF22" s="236"/>
      <c r="AG22" s="236"/>
      <c r="AH22" s="236"/>
      <c r="AI22" s="236"/>
      <c r="AJ22" s="236"/>
      <c r="AK22" s="236"/>
      <c r="AL22" s="236"/>
      <c r="AM22" s="236"/>
      <c r="AN22" s="236"/>
      <c r="AO22" s="236"/>
      <c r="AP22" s="236"/>
      <c r="AQ22" s="236"/>
      <c r="AR22" s="236"/>
      <c r="AS22" s="236"/>
      <c r="AT22" s="236"/>
      <c r="AU22" s="236"/>
    </row>
    <row r="23" spans="1:47" ht="15.75" customHeight="1">
      <c r="A23" s="170" t="s">
        <v>53</v>
      </c>
      <c r="B23" s="171" t="s">
        <v>54</v>
      </c>
      <c r="C23" s="170" t="s">
        <v>81</v>
      </c>
      <c r="D23" s="170" t="s">
        <v>111</v>
      </c>
      <c r="E23" s="170" t="s">
        <v>112</v>
      </c>
      <c r="F23" s="172"/>
      <c r="G23" s="172" t="s">
        <v>62</v>
      </c>
      <c r="H23" s="172" t="s">
        <v>113</v>
      </c>
      <c r="I23" s="173">
        <v>1</v>
      </c>
      <c r="J23" s="524">
        <v>0.01</v>
      </c>
      <c r="K23" s="172"/>
      <c r="L23" s="524"/>
      <c r="M23" s="173"/>
      <c r="N23" s="173"/>
      <c r="O23" s="175"/>
      <c r="P23" s="172"/>
      <c r="Q23" s="182"/>
      <c r="R23" s="189"/>
      <c r="S23" s="173"/>
      <c r="T23" s="173"/>
      <c r="U23" s="173"/>
      <c r="V23" s="173"/>
      <c r="W23" s="173"/>
      <c r="X23" s="173"/>
      <c r="Y23" s="173"/>
      <c r="Z23" s="173"/>
      <c r="AA23" s="172"/>
      <c r="AB23" s="236"/>
      <c r="AC23" s="236"/>
      <c r="AD23" s="236"/>
      <c r="AE23" s="236"/>
      <c r="AF23" s="236"/>
      <c r="AG23" s="236"/>
      <c r="AH23" s="236"/>
      <c r="AI23" s="236"/>
      <c r="AJ23" s="236"/>
      <c r="AK23" s="236"/>
      <c r="AL23" s="236"/>
      <c r="AM23" s="236"/>
      <c r="AN23" s="236"/>
      <c r="AO23" s="236"/>
      <c r="AP23" s="236"/>
      <c r="AQ23" s="236"/>
      <c r="AR23" s="236"/>
      <c r="AS23" s="236"/>
      <c r="AT23" s="236"/>
      <c r="AU23" s="236"/>
    </row>
    <row r="24" spans="1:47" ht="268.5" customHeight="1">
      <c r="A24" s="170" t="s">
        <v>53</v>
      </c>
      <c r="B24" s="171" t="s">
        <v>54</v>
      </c>
      <c r="C24" s="170" t="s">
        <v>81</v>
      </c>
      <c r="D24" s="170" t="s">
        <v>114</v>
      </c>
      <c r="E24" s="178" t="s">
        <v>115</v>
      </c>
      <c r="F24" s="170" t="s">
        <v>1821</v>
      </c>
      <c r="G24" s="170" t="s">
        <v>62</v>
      </c>
      <c r="H24" s="170" t="s">
        <v>113</v>
      </c>
      <c r="I24" s="179">
        <v>1</v>
      </c>
      <c r="J24" s="525" t="s">
        <v>1090</v>
      </c>
      <c r="K24" s="190" t="s">
        <v>1839</v>
      </c>
      <c r="L24" s="525"/>
      <c r="M24" s="170"/>
      <c r="N24" s="170"/>
      <c r="P24" s="170" t="s">
        <v>1840</v>
      </c>
      <c r="Q24" s="182"/>
      <c r="R24" s="183"/>
      <c r="S24" s="179"/>
      <c r="T24" s="179"/>
      <c r="U24" s="179"/>
      <c r="V24" s="179"/>
      <c r="W24" s="179"/>
      <c r="X24" s="179"/>
      <c r="Y24" s="179"/>
      <c r="Z24" s="179"/>
      <c r="AA24" s="170"/>
      <c r="AB24" s="236"/>
      <c r="AC24" s="236"/>
      <c r="AD24" s="236"/>
      <c r="AE24" s="236"/>
      <c r="AF24" s="236"/>
      <c r="AG24" s="236"/>
      <c r="AH24" s="236"/>
      <c r="AI24" s="236"/>
      <c r="AJ24" s="236"/>
      <c r="AK24" s="236"/>
      <c r="AL24" s="236"/>
      <c r="AM24" s="236"/>
      <c r="AN24" s="236"/>
      <c r="AO24" s="236"/>
      <c r="AP24" s="236"/>
      <c r="AQ24" s="236"/>
      <c r="AR24" s="236"/>
      <c r="AS24" s="236"/>
      <c r="AT24" s="236"/>
      <c r="AU24" s="236"/>
    </row>
    <row r="25" spans="1:47" ht="15.75" customHeight="1">
      <c r="A25" s="170" t="s">
        <v>53</v>
      </c>
      <c r="B25" s="171" t="s">
        <v>54</v>
      </c>
      <c r="C25" s="170" t="s">
        <v>81</v>
      </c>
      <c r="D25" s="170" t="s">
        <v>116</v>
      </c>
      <c r="E25" s="178" t="s">
        <v>117</v>
      </c>
      <c r="F25" s="170" t="s">
        <v>1816</v>
      </c>
      <c r="G25" s="170" t="s">
        <v>62</v>
      </c>
      <c r="H25" s="170" t="s">
        <v>113</v>
      </c>
      <c r="I25" s="179">
        <v>1</v>
      </c>
      <c r="J25" s="525" t="s">
        <v>1090</v>
      </c>
      <c r="K25" s="170" t="s">
        <v>1818</v>
      </c>
      <c r="L25" s="525"/>
      <c r="M25" s="179"/>
      <c r="N25" s="179"/>
      <c r="O25" s="181"/>
      <c r="P25" s="170"/>
      <c r="Q25" s="182"/>
      <c r="R25" s="183"/>
      <c r="S25" s="179"/>
      <c r="T25" s="179"/>
      <c r="U25" s="179"/>
      <c r="V25" s="179"/>
      <c r="W25" s="179"/>
      <c r="X25" s="179"/>
      <c r="Y25" s="179"/>
      <c r="Z25" s="179"/>
      <c r="AA25" s="170"/>
      <c r="AB25" s="236"/>
      <c r="AC25" s="236"/>
      <c r="AD25" s="236"/>
      <c r="AE25" s="236"/>
      <c r="AF25" s="236"/>
      <c r="AG25" s="236"/>
      <c r="AH25" s="236"/>
      <c r="AI25" s="236"/>
      <c r="AJ25" s="236"/>
      <c r="AK25" s="236"/>
      <c r="AL25" s="236"/>
      <c r="AM25" s="236"/>
      <c r="AN25" s="236"/>
      <c r="AO25" s="236"/>
      <c r="AP25" s="236"/>
      <c r="AQ25" s="236"/>
      <c r="AR25" s="236"/>
      <c r="AS25" s="236"/>
      <c r="AT25" s="236"/>
      <c r="AU25" s="236"/>
    </row>
    <row r="26" spans="1:47" ht="15.75" customHeight="1">
      <c r="A26" s="170" t="s">
        <v>53</v>
      </c>
      <c r="B26" s="171" t="s">
        <v>54</v>
      </c>
      <c r="C26" s="170" t="s">
        <v>81</v>
      </c>
      <c r="D26" s="170" t="s">
        <v>118</v>
      </c>
      <c r="E26" s="178" t="s">
        <v>119</v>
      </c>
      <c r="F26" s="170" t="s">
        <v>1824</v>
      </c>
      <c r="G26" s="170" t="s">
        <v>62</v>
      </c>
      <c r="H26" s="170" t="s">
        <v>113</v>
      </c>
      <c r="I26" s="179">
        <v>1</v>
      </c>
      <c r="J26" s="525" t="s">
        <v>1191</v>
      </c>
      <c r="K26" s="170" t="s">
        <v>1841</v>
      </c>
      <c r="L26" s="525">
        <v>2023</v>
      </c>
      <c r="M26" s="170" t="s">
        <v>9</v>
      </c>
      <c r="N26" s="170" t="s">
        <v>1842</v>
      </c>
      <c r="O26" s="181"/>
      <c r="P26" s="170"/>
      <c r="Q26" s="182"/>
      <c r="R26" s="183"/>
      <c r="S26" s="179"/>
      <c r="T26" s="179"/>
      <c r="U26" s="179"/>
      <c r="V26" s="179"/>
      <c r="W26" s="179"/>
      <c r="X26" s="179"/>
      <c r="Y26" s="179"/>
      <c r="Z26" s="179"/>
      <c r="AA26" s="170"/>
      <c r="AB26" s="236"/>
      <c r="AC26" s="236"/>
      <c r="AD26" s="236"/>
      <c r="AE26" s="236"/>
      <c r="AF26" s="236"/>
      <c r="AG26" s="236"/>
      <c r="AH26" s="236"/>
      <c r="AI26" s="236"/>
      <c r="AJ26" s="236"/>
      <c r="AK26" s="236"/>
      <c r="AL26" s="236"/>
      <c r="AM26" s="236"/>
      <c r="AN26" s="236"/>
      <c r="AO26" s="236"/>
      <c r="AP26" s="236"/>
      <c r="AQ26" s="236"/>
      <c r="AR26" s="236"/>
      <c r="AS26" s="236"/>
      <c r="AT26" s="236"/>
      <c r="AU26" s="236"/>
    </row>
    <row r="27" spans="1:47" ht="15.75" customHeight="1">
      <c r="A27" s="170" t="s">
        <v>53</v>
      </c>
      <c r="B27" s="171" t="s">
        <v>54</v>
      </c>
      <c r="C27" s="170" t="s">
        <v>81</v>
      </c>
      <c r="D27" s="170" t="s">
        <v>120</v>
      </c>
      <c r="E27" s="178" t="s">
        <v>121</v>
      </c>
      <c r="F27" s="170" t="s">
        <v>1824</v>
      </c>
      <c r="G27" s="170" t="s">
        <v>62</v>
      </c>
      <c r="H27" s="170" t="s">
        <v>113</v>
      </c>
      <c r="I27" s="179">
        <v>1</v>
      </c>
      <c r="J27" s="525" t="s">
        <v>1191</v>
      </c>
      <c r="K27" s="170" t="s">
        <v>1841</v>
      </c>
      <c r="L27" s="525">
        <v>2023</v>
      </c>
      <c r="M27" s="170" t="s">
        <v>9</v>
      </c>
      <c r="N27" s="170" t="s">
        <v>1843</v>
      </c>
      <c r="O27" s="181"/>
      <c r="P27" s="170"/>
      <c r="Q27" s="182"/>
      <c r="R27" s="183"/>
      <c r="S27" s="179"/>
      <c r="T27" s="179"/>
      <c r="U27" s="179"/>
      <c r="V27" s="179"/>
      <c r="W27" s="179"/>
      <c r="X27" s="179"/>
      <c r="Y27" s="179"/>
      <c r="Z27" s="179"/>
      <c r="AA27" s="170"/>
      <c r="AB27" s="236"/>
      <c r="AC27" s="236"/>
      <c r="AD27" s="236"/>
      <c r="AE27" s="236"/>
      <c r="AF27" s="236"/>
      <c r="AG27" s="236"/>
      <c r="AH27" s="236"/>
      <c r="AI27" s="236"/>
      <c r="AJ27" s="236"/>
      <c r="AK27" s="236"/>
      <c r="AL27" s="236"/>
      <c r="AM27" s="236"/>
      <c r="AN27" s="236"/>
      <c r="AO27" s="236"/>
      <c r="AP27" s="236"/>
      <c r="AQ27" s="236"/>
      <c r="AR27" s="236"/>
      <c r="AS27" s="236"/>
      <c r="AT27" s="236"/>
      <c r="AU27" s="236"/>
    </row>
    <row r="28" spans="1:47" ht="15.75" hidden="1" customHeight="1">
      <c r="A28" s="170" t="s">
        <v>53</v>
      </c>
      <c r="B28" s="171" t="s">
        <v>54</v>
      </c>
      <c r="C28" s="170" t="s">
        <v>81</v>
      </c>
      <c r="D28" s="170" t="s">
        <v>122</v>
      </c>
      <c r="E28" s="170" t="s">
        <v>123</v>
      </c>
      <c r="F28" s="170"/>
      <c r="G28" s="170" t="s">
        <v>71</v>
      </c>
      <c r="H28" s="170" t="s">
        <v>124</v>
      </c>
      <c r="I28" s="179">
        <v>1</v>
      </c>
      <c r="J28" s="170"/>
      <c r="K28" s="170"/>
      <c r="L28" s="180"/>
      <c r="M28" s="170"/>
      <c r="N28" s="170"/>
      <c r="O28" s="181"/>
      <c r="P28" s="170"/>
      <c r="Q28" s="176"/>
      <c r="R28" s="184"/>
      <c r="S28" s="170"/>
      <c r="T28" s="170"/>
      <c r="U28" s="170"/>
      <c r="V28" s="170"/>
      <c r="W28" s="170"/>
      <c r="X28" s="170"/>
      <c r="Y28" s="170"/>
      <c r="Z28" s="170"/>
      <c r="AA28" s="170"/>
      <c r="AB28" s="162"/>
      <c r="AC28" s="162"/>
      <c r="AD28" s="162"/>
      <c r="AE28" s="162"/>
      <c r="AF28" s="162"/>
      <c r="AG28" s="162"/>
      <c r="AH28" s="162"/>
      <c r="AI28" s="162"/>
      <c r="AJ28" s="162"/>
      <c r="AK28" s="162"/>
      <c r="AL28" s="162"/>
      <c r="AM28" s="162"/>
      <c r="AN28" s="162"/>
      <c r="AO28" s="162"/>
      <c r="AP28" s="162"/>
      <c r="AQ28" s="162"/>
      <c r="AR28" s="162"/>
      <c r="AS28" s="162"/>
      <c r="AT28" s="162"/>
      <c r="AU28" s="162"/>
    </row>
    <row r="29" spans="1:47" ht="15.75" hidden="1" customHeight="1">
      <c r="A29" s="170" t="s">
        <v>53</v>
      </c>
      <c r="B29" s="171" t="s">
        <v>54</v>
      </c>
      <c r="C29" s="170" t="s">
        <v>81</v>
      </c>
      <c r="D29" s="170" t="s">
        <v>125</v>
      </c>
      <c r="E29" s="170" t="s">
        <v>126</v>
      </c>
      <c r="F29" s="170"/>
      <c r="G29" s="170" t="s">
        <v>71</v>
      </c>
      <c r="H29" s="170" t="s">
        <v>127</v>
      </c>
      <c r="I29" s="179">
        <v>1</v>
      </c>
      <c r="J29" s="170"/>
      <c r="K29" s="170"/>
      <c r="L29" s="180"/>
      <c r="M29" s="170"/>
      <c r="N29" s="170"/>
      <c r="O29" s="181"/>
      <c r="P29" s="170"/>
      <c r="Q29" s="176"/>
      <c r="R29" s="184"/>
      <c r="S29" s="170"/>
      <c r="T29" s="170"/>
      <c r="U29" s="170"/>
      <c r="V29" s="170"/>
      <c r="W29" s="170"/>
      <c r="X29" s="170"/>
      <c r="Y29" s="170"/>
      <c r="Z29" s="170"/>
      <c r="AA29" s="170"/>
      <c r="AB29" s="162"/>
      <c r="AC29" s="162"/>
      <c r="AD29" s="162"/>
      <c r="AE29" s="162"/>
      <c r="AF29" s="162"/>
      <c r="AG29" s="162"/>
      <c r="AH29" s="162"/>
      <c r="AI29" s="162"/>
      <c r="AJ29" s="162"/>
      <c r="AK29" s="162"/>
      <c r="AL29" s="162"/>
      <c r="AM29" s="162"/>
      <c r="AN29" s="162"/>
      <c r="AO29" s="162"/>
      <c r="AP29" s="162"/>
      <c r="AQ29" s="162"/>
      <c r="AR29" s="162"/>
      <c r="AS29" s="162"/>
      <c r="AT29" s="162"/>
      <c r="AU29" s="162"/>
    </row>
    <row r="30" spans="1:47" ht="15.75" customHeight="1">
      <c r="A30" s="170" t="s">
        <v>53</v>
      </c>
      <c r="B30" s="171" t="s">
        <v>54</v>
      </c>
      <c r="C30" s="170" t="s">
        <v>128</v>
      </c>
      <c r="D30" s="170" t="s">
        <v>129</v>
      </c>
      <c r="E30" s="170" t="s">
        <v>130</v>
      </c>
      <c r="F30" s="172"/>
      <c r="G30" s="172" t="s">
        <v>131</v>
      </c>
      <c r="H30" s="172"/>
      <c r="I30" s="173"/>
      <c r="J30" s="524">
        <v>0.01</v>
      </c>
      <c r="K30" s="172"/>
      <c r="L30" s="524"/>
      <c r="M30" s="173"/>
      <c r="N30" s="173"/>
      <c r="O30" s="175"/>
      <c r="P30" s="172"/>
      <c r="Q30" s="182"/>
      <c r="R30" s="189"/>
      <c r="S30" s="173"/>
      <c r="T30" s="173"/>
      <c r="U30" s="173"/>
      <c r="V30" s="173"/>
      <c r="W30" s="173"/>
      <c r="X30" s="173"/>
      <c r="Y30" s="173"/>
      <c r="Z30" s="173"/>
      <c r="AA30" s="172"/>
      <c r="AB30" s="236"/>
      <c r="AC30" s="236"/>
      <c r="AD30" s="236"/>
      <c r="AE30" s="236"/>
      <c r="AF30" s="236"/>
      <c r="AG30" s="236"/>
      <c r="AH30" s="236"/>
      <c r="AI30" s="236"/>
      <c r="AJ30" s="236"/>
      <c r="AK30" s="236"/>
      <c r="AL30" s="236"/>
      <c r="AM30" s="236"/>
      <c r="AN30" s="236"/>
      <c r="AO30" s="236"/>
      <c r="AP30" s="236"/>
      <c r="AQ30" s="236"/>
      <c r="AR30" s="236"/>
      <c r="AS30" s="236"/>
      <c r="AT30" s="236"/>
      <c r="AU30" s="236"/>
    </row>
    <row r="31" spans="1:47" ht="15.75" customHeight="1">
      <c r="A31" s="170" t="s">
        <v>53</v>
      </c>
      <c r="B31" s="171" t="s">
        <v>54</v>
      </c>
      <c r="C31" s="170" t="s">
        <v>128</v>
      </c>
      <c r="D31" s="170" t="s">
        <v>132</v>
      </c>
      <c r="E31" s="178" t="s">
        <v>133</v>
      </c>
      <c r="F31" s="170" t="s">
        <v>1824</v>
      </c>
      <c r="G31" s="170" t="s">
        <v>131</v>
      </c>
      <c r="H31" s="170" t="s">
        <v>134</v>
      </c>
      <c r="I31" s="170" t="s">
        <v>135</v>
      </c>
      <c r="J31" s="525" t="s">
        <v>1090</v>
      </c>
      <c r="K31" s="170" t="s">
        <v>1844</v>
      </c>
      <c r="L31" s="525"/>
      <c r="M31" s="170"/>
      <c r="N31" s="170"/>
      <c r="O31" s="181"/>
      <c r="P31" s="170"/>
      <c r="Q31" s="176"/>
      <c r="R31" s="184"/>
      <c r="S31" s="170"/>
      <c r="T31" s="170"/>
      <c r="U31" s="170"/>
      <c r="V31" s="170"/>
      <c r="W31" s="170"/>
      <c r="X31" s="170"/>
      <c r="Y31" s="170"/>
      <c r="Z31" s="170"/>
      <c r="AA31" s="170"/>
      <c r="AB31" s="236"/>
      <c r="AC31" s="236"/>
      <c r="AD31" s="236"/>
      <c r="AE31" s="236"/>
      <c r="AF31" s="236"/>
      <c r="AG31" s="236"/>
      <c r="AH31" s="236"/>
      <c r="AI31" s="236"/>
      <c r="AJ31" s="236"/>
      <c r="AK31" s="236"/>
      <c r="AL31" s="236"/>
      <c r="AM31" s="236"/>
      <c r="AN31" s="236"/>
      <c r="AO31" s="236"/>
      <c r="AP31" s="236"/>
      <c r="AQ31" s="236"/>
      <c r="AR31" s="236"/>
      <c r="AS31" s="236"/>
      <c r="AT31" s="236"/>
      <c r="AU31" s="236"/>
    </row>
    <row r="32" spans="1:47" ht="15.75" customHeight="1">
      <c r="A32" s="170" t="s">
        <v>53</v>
      </c>
      <c r="B32" s="171" t="s">
        <v>54</v>
      </c>
      <c r="C32" s="170" t="s">
        <v>128</v>
      </c>
      <c r="D32" s="170" t="s">
        <v>136</v>
      </c>
      <c r="E32" s="178" t="s">
        <v>137</v>
      </c>
      <c r="F32" s="170" t="s">
        <v>1824</v>
      </c>
      <c r="G32" s="170" t="s">
        <v>131</v>
      </c>
      <c r="H32" s="170" t="s">
        <v>138</v>
      </c>
      <c r="I32" s="170" t="s">
        <v>139</v>
      </c>
      <c r="J32" s="525" t="s">
        <v>1090</v>
      </c>
      <c r="K32" s="170" t="s">
        <v>1845</v>
      </c>
      <c r="L32" s="525"/>
      <c r="M32" s="170"/>
      <c r="O32" s="181"/>
      <c r="P32" s="170"/>
      <c r="Q32" s="176"/>
      <c r="R32" s="184"/>
      <c r="S32" s="170"/>
      <c r="T32" s="170"/>
      <c r="U32" s="170"/>
      <c r="V32" s="170"/>
      <c r="W32" s="170"/>
      <c r="X32" s="170"/>
      <c r="Y32" s="170"/>
      <c r="Z32" s="170"/>
      <c r="AA32" s="170"/>
      <c r="AB32" s="236"/>
      <c r="AC32" s="236"/>
      <c r="AD32" s="236"/>
      <c r="AE32" s="236"/>
      <c r="AF32" s="236"/>
      <c r="AG32" s="236"/>
      <c r="AH32" s="236"/>
      <c r="AI32" s="236"/>
      <c r="AJ32" s="236"/>
      <c r="AK32" s="236"/>
      <c r="AL32" s="236"/>
      <c r="AM32" s="236"/>
      <c r="AN32" s="236"/>
      <c r="AO32" s="236"/>
      <c r="AP32" s="236"/>
      <c r="AQ32" s="236"/>
      <c r="AR32" s="236"/>
      <c r="AS32" s="236"/>
      <c r="AT32" s="236"/>
      <c r="AU32" s="236"/>
    </row>
    <row r="33" spans="1:47" ht="15.75" customHeight="1">
      <c r="A33" s="170" t="s">
        <v>53</v>
      </c>
      <c r="B33" s="171" t="s">
        <v>54</v>
      </c>
      <c r="C33" s="170" t="s">
        <v>128</v>
      </c>
      <c r="D33" s="170" t="s">
        <v>140</v>
      </c>
      <c r="E33" s="178" t="s">
        <v>141</v>
      </c>
      <c r="F33" s="170" t="s">
        <v>1824</v>
      </c>
      <c r="G33" s="170" t="s">
        <v>131</v>
      </c>
      <c r="H33" s="170" t="s">
        <v>142</v>
      </c>
      <c r="I33" s="170" t="s">
        <v>143</v>
      </c>
      <c r="J33" s="525" t="s">
        <v>1090</v>
      </c>
      <c r="K33" s="170" t="s">
        <v>1846</v>
      </c>
      <c r="M33" s="170"/>
      <c r="N33" s="191"/>
      <c r="O33" s="181"/>
      <c r="P33" s="170" t="s">
        <v>1847</v>
      </c>
      <c r="Q33" s="176"/>
      <c r="R33" s="184"/>
      <c r="S33" s="170"/>
      <c r="T33" s="170"/>
      <c r="U33" s="170"/>
      <c r="V33" s="170"/>
      <c r="W33" s="170"/>
      <c r="X33" s="170"/>
      <c r="Y33" s="170"/>
      <c r="Z33" s="170"/>
      <c r="AA33" s="170"/>
      <c r="AB33" s="236"/>
      <c r="AC33" s="236"/>
      <c r="AD33" s="236"/>
      <c r="AE33" s="236"/>
      <c r="AF33" s="236"/>
      <c r="AG33" s="236"/>
      <c r="AH33" s="236"/>
      <c r="AI33" s="236"/>
      <c r="AJ33" s="236"/>
      <c r="AK33" s="236"/>
      <c r="AL33" s="236"/>
      <c r="AM33" s="236"/>
      <c r="AN33" s="236"/>
      <c r="AO33" s="236"/>
      <c r="AP33" s="236"/>
      <c r="AQ33" s="236"/>
      <c r="AR33" s="236"/>
      <c r="AS33" s="236"/>
      <c r="AT33" s="236"/>
      <c r="AU33" s="236"/>
    </row>
    <row r="34" spans="1:47" ht="15.75" customHeight="1">
      <c r="A34" s="170" t="s">
        <v>53</v>
      </c>
      <c r="B34" s="171" t="s">
        <v>54</v>
      </c>
      <c r="C34" s="170" t="s">
        <v>128</v>
      </c>
      <c r="D34" s="170" t="s">
        <v>144</v>
      </c>
      <c r="E34" s="170" t="s">
        <v>145</v>
      </c>
      <c r="F34" s="172"/>
      <c r="G34" s="172" t="s">
        <v>131</v>
      </c>
      <c r="H34" s="172"/>
      <c r="I34" s="173"/>
      <c r="J34" s="524">
        <v>0.01</v>
      </c>
      <c r="K34" s="172"/>
      <c r="L34" s="524"/>
      <c r="M34" s="173"/>
      <c r="N34" s="173"/>
      <c r="O34" s="175"/>
      <c r="P34" s="172"/>
      <c r="Q34" s="182"/>
      <c r="R34" s="189"/>
      <c r="S34" s="173"/>
      <c r="T34" s="173"/>
      <c r="U34" s="173"/>
      <c r="V34" s="173"/>
      <c r="W34" s="173"/>
      <c r="X34" s="173"/>
      <c r="Y34" s="173"/>
      <c r="Z34" s="173"/>
      <c r="AA34" s="172"/>
      <c r="AB34" s="236"/>
      <c r="AC34" s="236"/>
      <c r="AD34" s="236"/>
      <c r="AE34" s="236"/>
      <c r="AF34" s="236"/>
      <c r="AG34" s="236"/>
      <c r="AH34" s="236"/>
      <c r="AI34" s="236"/>
      <c r="AJ34" s="236"/>
      <c r="AK34" s="236"/>
      <c r="AL34" s="236"/>
      <c r="AM34" s="236"/>
      <c r="AN34" s="236"/>
      <c r="AO34" s="236"/>
      <c r="AP34" s="236"/>
      <c r="AQ34" s="236"/>
      <c r="AR34" s="236"/>
      <c r="AS34" s="236"/>
      <c r="AT34" s="236"/>
      <c r="AU34" s="236"/>
    </row>
    <row r="35" spans="1:47" ht="15.75" customHeight="1">
      <c r="A35" s="170" t="s">
        <v>53</v>
      </c>
      <c r="B35" s="171" t="s">
        <v>54</v>
      </c>
      <c r="C35" s="170" t="s">
        <v>128</v>
      </c>
      <c r="D35" s="170" t="s">
        <v>146</v>
      </c>
      <c r="E35" s="178" t="s">
        <v>147</v>
      </c>
      <c r="F35" s="170" t="s">
        <v>1824</v>
      </c>
      <c r="G35" s="170" t="s">
        <v>131</v>
      </c>
      <c r="H35" s="170" t="s">
        <v>148</v>
      </c>
      <c r="I35" s="170" t="s">
        <v>149</v>
      </c>
      <c r="J35" s="525" t="s">
        <v>8</v>
      </c>
      <c r="K35" s="170" t="s">
        <v>1848</v>
      </c>
      <c r="L35" s="525">
        <v>2023</v>
      </c>
      <c r="M35" s="170" t="s">
        <v>9</v>
      </c>
      <c r="N35" s="170" t="s">
        <v>1849</v>
      </c>
      <c r="O35" s="181"/>
      <c r="P35" s="170"/>
      <c r="Q35" s="176"/>
      <c r="R35" s="184"/>
      <c r="S35" s="170"/>
      <c r="T35" s="170"/>
      <c r="U35" s="170"/>
      <c r="V35" s="170"/>
      <c r="W35" s="170"/>
      <c r="X35" s="170"/>
      <c r="Y35" s="170"/>
      <c r="Z35" s="170"/>
      <c r="AA35" s="170"/>
      <c r="AB35" s="236"/>
      <c r="AC35" s="236"/>
      <c r="AD35" s="236"/>
      <c r="AE35" s="236"/>
      <c r="AF35" s="236"/>
      <c r="AG35" s="236"/>
      <c r="AH35" s="236"/>
      <c r="AI35" s="236"/>
      <c r="AJ35" s="236"/>
      <c r="AK35" s="236"/>
      <c r="AL35" s="236"/>
      <c r="AM35" s="236"/>
      <c r="AN35" s="236"/>
      <c r="AO35" s="236"/>
      <c r="AP35" s="236"/>
      <c r="AQ35" s="236"/>
      <c r="AR35" s="236"/>
      <c r="AS35" s="236"/>
      <c r="AT35" s="236"/>
      <c r="AU35" s="236"/>
    </row>
    <row r="36" spans="1:47" ht="15.75" customHeight="1">
      <c r="A36" s="170" t="s">
        <v>53</v>
      </c>
      <c r="B36" s="171" t="s">
        <v>54</v>
      </c>
      <c r="C36" s="170" t="s">
        <v>128</v>
      </c>
      <c r="D36" s="170" t="s">
        <v>150</v>
      </c>
      <c r="E36" s="178" t="s">
        <v>151</v>
      </c>
      <c r="F36" s="170" t="s">
        <v>1824</v>
      </c>
      <c r="G36" s="170" t="s">
        <v>131</v>
      </c>
      <c r="H36" s="170" t="s">
        <v>152</v>
      </c>
      <c r="I36" s="170" t="s">
        <v>153</v>
      </c>
      <c r="J36" s="525" t="s">
        <v>8</v>
      </c>
      <c r="K36" s="170"/>
      <c r="L36" s="525">
        <v>2023</v>
      </c>
      <c r="M36" s="170" t="s">
        <v>9</v>
      </c>
      <c r="N36" s="170" t="s">
        <v>1850</v>
      </c>
      <c r="O36" s="181"/>
      <c r="P36" s="170"/>
      <c r="Q36" s="176"/>
      <c r="R36" s="184"/>
      <c r="S36" s="170"/>
      <c r="T36" s="170"/>
      <c r="U36" s="170"/>
      <c r="V36" s="170"/>
      <c r="W36" s="170"/>
      <c r="X36" s="170"/>
      <c r="Y36" s="170"/>
      <c r="Z36" s="170"/>
      <c r="AA36" s="170"/>
      <c r="AB36" s="236"/>
      <c r="AC36" s="236"/>
      <c r="AD36" s="236"/>
      <c r="AE36" s="236"/>
      <c r="AF36" s="236"/>
      <c r="AG36" s="236"/>
      <c r="AH36" s="236"/>
      <c r="AI36" s="236"/>
      <c r="AJ36" s="236"/>
      <c r="AK36" s="236"/>
      <c r="AL36" s="236"/>
      <c r="AM36" s="236"/>
      <c r="AN36" s="236"/>
      <c r="AO36" s="236"/>
      <c r="AP36" s="236"/>
      <c r="AQ36" s="236"/>
      <c r="AR36" s="236"/>
      <c r="AS36" s="236"/>
      <c r="AT36" s="236"/>
      <c r="AU36" s="236"/>
    </row>
    <row r="37" spans="1:47" ht="15.75" customHeight="1">
      <c r="A37" s="170" t="s">
        <v>53</v>
      </c>
      <c r="B37" s="171" t="s">
        <v>54</v>
      </c>
      <c r="C37" s="170" t="s">
        <v>128</v>
      </c>
      <c r="D37" s="170" t="s">
        <v>154</v>
      </c>
      <c r="E37" s="170" t="s">
        <v>155</v>
      </c>
      <c r="F37" s="172"/>
      <c r="G37" s="172" t="s">
        <v>131</v>
      </c>
      <c r="H37" s="172"/>
      <c r="I37" s="173"/>
      <c r="J37" s="524">
        <v>0.01</v>
      </c>
      <c r="K37" s="172"/>
      <c r="L37" s="524"/>
      <c r="M37" s="173"/>
      <c r="N37" s="173"/>
      <c r="O37" s="175"/>
      <c r="P37" s="172"/>
      <c r="Q37" s="182"/>
      <c r="R37" s="189"/>
      <c r="S37" s="173"/>
      <c r="T37" s="173"/>
      <c r="U37" s="173"/>
      <c r="V37" s="173"/>
      <c r="W37" s="173"/>
      <c r="X37" s="173"/>
      <c r="Y37" s="173"/>
      <c r="Z37" s="173"/>
      <c r="AA37" s="172"/>
      <c r="AB37" s="236"/>
      <c r="AC37" s="236"/>
      <c r="AD37" s="236"/>
      <c r="AE37" s="236"/>
      <c r="AF37" s="236"/>
      <c r="AG37" s="236"/>
      <c r="AH37" s="236"/>
      <c r="AI37" s="236"/>
      <c r="AJ37" s="236"/>
      <c r="AK37" s="236"/>
      <c r="AL37" s="236"/>
      <c r="AM37" s="236"/>
      <c r="AN37" s="236"/>
      <c r="AO37" s="236"/>
      <c r="AP37" s="236"/>
      <c r="AQ37" s="236"/>
      <c r="AR37" s="236"/>
      <c r="AS37" s="236"/>
      <c r="AT37" s="236"/>
      <c r="AU37" s="236"/>
    </row>
    <row r="38" spans="1:47" ht="15.75" customHeight="1">
      <c r="A38" s="170" t="s">
        <v>53</v>
      </c>
      <c r="B38" s="171" t="s">
        <v>54</v>
      </c>
      <c r="C38" s="170" t="s">
        <v>128</v>
      </c>
      <c r="D38" s="170" t="s">
        <v>156</v>
      </c>
      <c r="E38" s="178" t="s">
        <v>157</v>
      </c>
      <c r="F38" s="170" t="s">
        <v>1824</v>
      </c>
      <c r="G38" s="170" t="s">
        <v>131</v>
      </c>
      <c r="H38" s="170" t="s">
        <v>158</v>
      </c>
      <c r="I38" s="170" t="s">
        <v>110</v>
      </c>
      <c r="J38" s="525" t="s">
        <v>1090</v>
      </c>
      <c r="K38" s="170" t="s">
        <v>1851</v>
      </c>
      <c r="L38" s="525"/>
      <c r="M38" s="170"/>
      <c r="N38" s="170"/>
      <c r="O38" s="181"/>
      <c r="P38" s="170"/>
      <c r="Q38" s="176"/>
      <c r="R38" s="184"/>
      <c r="S38" s="170"/>
      <c r="T38" s="170"/>
      <c r="U38" s="170"/>
      <c r="V38" s="170"/>
      <c r="W38" s="170"/>
      <c r="X38" s="170"/>
      <c r="Y38" s="170"/>
      <c r="Z38" s="170"/>
      <c r="AA38" s="170"/>
      <c r="AB38" s="236"/>
      <c r="AC38" s="236"/>
      <c r="AD38" s="236"/>
      <c r="AE38" s="236"/>
      <c r="AF38" s="236"/>
      <c r="AG38" s="236"/>
      <c r="AH38" s="236"/>
      <c r="AI38" s="236"/>
      <c r="AJ38" s="236"/>
      <c r="AK38" s="236"/>
      <c r="AL38" s="236"/>
      <c r="AM38" s="236"/>
      <c r="AN38" s="236"/>
      <c r="AO38" s="236"/>
      <c r="AP38" s="236"/>
      <c r="AQ38" s="236"/>
      <c r="AR38" s="236"/>
      <c r="AS38" s="236"/>
      <c r="AT38" s="236"/>
      <c r="AU38" s="236"/>
    </row>
    <row r="39" spans="1:47" ht="15.75" customHeight="1">
      <c r="A39" s="170" t="s">
        <v>53</v>
      </c>
      <c r="B39" s="171" t="s">
        <v>54</v>
      </c>
      <c r="C39" s="170" t="s">
        <v>128</v>
      </c>
      <c r="D39" s="170" t="s">
        <v>159</v>
      </c>
      <c r="E39" s="178" t="s">
        <v>160</v>
      </c>
      <c r="F39" s="170" t="s">
        <v>1824</v>
      </c>
      <c r="G39" s="170" t="s">
        <v>131</v>
      </c>
      <c r="H39" s="170" t="s">
        <v>161</v>
      </c>
      <c r="I39" s="170" t="s">
        <v>162</v>
      </c>
      <c r="J39" s="525" t="s">
        <v>1090</v>
      </c>
      <c r="K39" s="170" t="s">
        <v>1852</v>
      </c>
      <c r="L39" s="525"/>
      <c r="M39" s="170"/>
      <c r="N39" s="170"/>
      <c r="O39" s="181"/>
      <c r="P39" s="170"/>
      <c r="Q39" s="176"/>
      <c r="R39" s="184"/>
      <c r="S39" s="170"/>
      <c r="T39" s="170"/>
      <c r="U39" s="170"/>
      <c r="V39" s="170"/>
      <c r="W39" s="170"/>
      <c r="X39" s="170"/>
      <c r="Y39" s="170"/>
      <c r="Z39" s="170"/>
      <c r="AA39" s="170"/>
      <c r="AB39" s="236"/>
      <c r="AC39" s="236"/>
      <c r="AD39" s="236"/>
      <c r="AE39" s="236"/>
      <c r="AF39" s="236"/>
      <c r="AG39" s="236"/>
      <c r="AH39" s="236"/>
      <c r="AI39" s="236"/>
      <c r="AJ39" s="236"/>
      <c r="AK39" s="236"/>
      <c r="AL39" s="236"/>
      <c r="AM39" s="236"/>
      <c r="AN39" s="236"/>
      <c r="AO39" s="236"/>
      <c r="AP39" s="236"/>
      <c r="AQ39" s="236"/>
      <c r="AR39" s="236"/>
      <c r="AS39" s="236"/>
      <c r="AT39" s="236"/>
      <c r="AU39" s="236"/>
    </row>
    <row r="40" spans="1:47" ht="15.75" customHeight="1">
      <c r="A40" s="170" t="s">
        <v>53</v>
      </c>
      <c r="B40" s="171" t="s">
        <v>54</v>
      </c>
      <c r="C40" s="170" t="s">
        <v>128</v>
      </c>
      <c r="D40" s="170" t="s">
        <v>163</v>
      </c>
      <c r="E40" s="178" t="s">
        <v>164</v>
      </c>
      <c r="F40" s="170" t="s">
        <v>1824</v>
      </c>
      <c r="G40" s="170" t="s">
        <v>131</v>
      </c>
      <c r="H40" s="170" t="s">
        <v>165</v>
      </c>
      <c r="I40" s="170" t="s">
        <v>166</v>
      </c>
      <c r="J40" s="525" t="s">
        <v>1090</v>
      </c>
      <c r="K40" s="170" t="s">
        <v>1853</v>
      </c>
      <c r="L40" s="525"/>
      <c r="M40" s="170"/>
      <c r="N40" s="170"/>
      <c r="O40" s="181"/>
      <c r="P40" s="170"/>
      <c r="Q40" s="176"/>
      <c r="R40" s="184"/>
      <c r="S40" s="170"/>
      <c r="T40" s="170"/>
      <c r="U40" s="170"/>
      <c r="V40" s="170"/>
      <c r="W40" s="170"/>
      <c r="X40" s="170"/>
      <c r="Y40" s="170"/>
      <c r="Z40" s="170"/>
      <c r="AA40" s="170"/>
      <c r="AB40" s="236"/>
      <c r="AC40" s="236"/>
      <c r="AD40" s="236"/>
      <c r="AE40" s="236"/>
      <c r="AF40" s="236"/>
      <c r="AG40" s="236"/>
      <c r="AH40" s="236"/>
      <c r="AI40" s="236"/>
      <c r="AJ40" s="236"/>
      <c r="AK40" s="236"/>
      <c r="AL40" s="236"/>
      <c r="AM40" s="236"/>
      <c r="AN40" s="236"/>
      <c r="AO40" s="236"/>
      <c r="AP40" s="236"/>
      <c r="AQ40" s="236"/>
      <c r="AR40" s="236"/>
      <c r="AS40" s="236"/>
      <c r="AT40" s="236"/>
      <c r="AU40" s="236"/>
    </row>
    <row r="41" spans="1:47" ht="15.75" hidden="1" customHeight="1">
      <c r="A41" s="170" t="s">
        <v>53</v>
      </c>
      <c r="B41" s="171" t="s">
        <v>54</v>
      </c>
      <c r="C41" s="170" t="s">
        <v>128</v>
      </c>
      <c r="D41" s="170" t="s">
        <v>167</v>
      </c>
      <c r="E41" s="170" t="s">
        <v>168</v>
      </c>
      <c r="F41" s="170"/>
      <c r="G41" s="170" t="s">
        <v>71</v>
      </c>
      <c r="H41" s="170" t="s">
        <v>169</v>
      </c>
      <c r="I41" s="170" t="s">
        <v>110</v>
      </c>
      <c r="J41" s="170"/>
      <c r="K41" s="188"/>
      <c r="L41" s="192"/>
      <c r="M41" s="188"/>
      <c r="N41" s="188"/>
      <c r="O41" s="193"/>
      <c r="P41" s="170"/>
      <c r="Q41" s="176"/>
      <c r="R41" s="194"/>
      <c r="S41" s="188"/>
      <c r="T41" s="188"/>
      <c r="U41" s="188"/>
      <c r="V41" s="188"/>
      <c r="W41" s="188"/>
      <c r="X41" s="188"/>
      <c r="Y41" s="188"/>
      <c r="Z41" s="188"/>
      <c r="AA41" s="170"/>
      <c r="AB41" s="162"/>
      <c r="AC41" s="162"/>
      <c r="AD41" s="162"/>
      <c r="AE41" s="162"/>
      <c r="AF41" s="162"/>
      <c r="AG41" s="162"/>
      <c r="AH41" s="162"/>
      <c r="AI41" s="162"/>
      <c r="AJ41" s="162"/>
      <c r="AK41" s="162"/>
      <c r="AL41" s="162"/>
      <c r="AM41" s="162"/>
      <c r="AN41" s="162"/>
      <c r="AO41" s="162"/>
      <c r="AP41" s="162"/>
      <c r="AQ41" s="162"/>
      <c r="AR41" s="162"/>
      <c r="AS41" s="162"/>
      <c r="AT41" s="162"/>
      <c r="AU41" s="162"/>
    </row>
    <row r="42" spans="1:47" ht="15.75" customHeight="1">
      <c r="A42" s="170" t="s">
        <v>53</v>
      </c>
      <c r="B42" s="171" t="s">
        <v>54</v>
      </c>
      <c r="C42" s="170" t="s">
        <v>128</v>
      </c>
      <c r="D42" s="170" t="s">
        <v>170</v>
      </c>
      <c r="E42" s="170" t="s">
        <v>171</v>
      </c>
      <c r="F42" s="170" t="s">
        <v>1824</v>
      </c>
      <c r="G42" s="170" t="s">
        <v>62</v>
      </c>
      <c r="H42" s="170"/>
      <c r="I42" s="170"/>
      <c r="J42" s="525" t="s">
        <v>8</v>
      </c>
      <c r="K42" s="188"/>
      <c r="L42" s="525">
        <v>2023</v>
      </c>
      <c r="M42" s="188" t="s">
        <v>12</v>
      </c>
      <c r="N42" s="170" t="s">
        <v>1854</v>
      </c>
      <c r="O42" s="193"/>
      <c r="P42" s="170" t="s">
        <v>1</v>
      </c>
      <c r="Q42" s="176"/>
      <c r="R42" s="194"/>
      <c r="S42" s="188"/>
      <c r="T42" s="188"/>
      <c r="U42" s="188"/>
      <c r="V42" s="188"/>
      <c r="W42" s="188"/>
      <c r="X42" s="188"/>
      <c r="Y42" s="188"/>
      <c r="Z42" s="188"/>
      <c r="AA42" s="170"/>
      <c r="AB42" s="236"/>
      <c r="AC42" s="236"/>
      <c r="AD42" s="236"/>
      <c r="AE42" s="236"/>
      <c r="AF42" s="236"/>
      <c r="AG42" s="236"/>
      <c r="AH42" s="236"/>
      <c r="AI42" s="236"/>
      <c r="AJ42" s="236"/>
      <c r="AK42" s="236"/>
      <c r="AL42" s="236"/>
      <c r="AM42" s="236"/>
      <c r="AN42" s="236"/>
      <c r="AO42" s="236"/>
      <c r="AP42" s="236"/>
      <c r="AQ42" s="236"/>
      <c r="AR42" s="236"/>
      <c r="AS42" s="236"/>
      <c r="AT42" s="236"/>
      <c r="AU42" s="236"/>
    </row>
    <row r="43" spans="1:47" ht="15.75" customHeight="1">
      <c r="A43" s="170" t="s">
        <v>53</v>
      </c>
      <c r="B43" s="171" t="s">
        <v>54</v>
      </c>
      <c r="C43" s="170" t="s">
        <v>128</v>
      </c>
      <c r="D43" s="170" t="s">
        <v>172</v>
      </c>
      <c r="E43" s="178" t="s">
        <v>173</v>
      </c>
      <c r="F43" s="170" t="s">
        <v>1824</v>
      </c>
      <c r="G43" s="170" t="s">
        <v>62</v>
      </c>
      <c r="H43" s="170" t="s">
        <v>174</v>
      </c>
      <c r="I43" s="170" t="s">
        <v>175</v>
      </c>
      <c r="J43" s="525" t="s">
        <v>8</v>
      </c>
      <c r="K43" s="188"/>
      <c r="L43" s="525">
        <v>2023</v>
      </c>
      <c r="M43" s="188" t="s">
        <v>9</v>
      </c>
      <c r="N43" s="188" t="s">
        <v>1855</v>
      </c>
      <c r="P43" s="170"/>
      <c r="Q43" s="176"/>
      <c r="R43" s="194"/>
      <c r="S43" s="188"/>
      <c r="T43" s="188"/>
      <c r="U43" s="188"/>
      <c r="V43" s="188"/>
      <c r="W43" s="188"/>
      <c r="X43" s="188"/>
      <c r="Y43" s="188"/>
      <c r="Z43" s="188"/>
      <c r="AA43" s="170"/>
      <c r="AB43" s="236"/>
      <c r="AC43" s="236"/>
      <c r="AD43" s="236"/>
      <c r="AE43" s="236"/>
      <c r="AF43" s="236"/>
      <c r="AG43" s="236"/>
      <c r="AH43" s="236"/>
      <c r="AI43" s="236"/>
      <c r="AJ43" s="236"/>
      <c r="AK43" s="236"/>
      <c r="AL43" s="236"/>
      <c r="AM43" s="236"/>
      <c r="AN43" s="236"/>
      <c r="AO43" s="236"/>
      <c r="AP43" s="236"/>
      <c r="AQ43" s="236"/>
      <c r="AR43" s="236"/>
      <c r="AS43" s="236"/>
      <c r="AT43" s="236"/>
      <c r="AU43" s="236"/>
    </row>
    <row r="44" spans="1:47" ht="15.75" customHeight="1">
      <c r="A44" s="170" t="s">
        <v>53</v>
      </c>
      <c r="B44" s="171" t="s">
        <v>54</v>
      </c>
      <c r="C44" s="170" t="s">
        <v>128</v>
      </c>
      <c r="D44" s="170" t="s">
        <v>176</v>
      </c>
      <c r="E44" s="178" t="s">
        <v>177</v>
      </c>
      <c r="F44" s="170" t="s">
        <v>1816</v>
      </c>
      <c r="G44" s="170" t="s">
        <v>62</v>
      </c>
      <c r="H44" s="170" t="s">
        <v>178</v>
      </c>
      <c r="I44" s="170" t="s">
        <v>179</v>
      </c>
      <c r="J44" s="525" t="s">
        <v>8</v>
      </c>
      <c r="K44" s="188" t="s">
        <v>1856</v>
      </c>
      <c r="L44" s="525">
        <v>2023</v>
      </c>
      <c r="M44" s="188" t="s">
        <v>9</v>
      </c>
      <c r="N44" s="188" t="s">
        <v>1855</v>
      </c>
      <c r="O44" s="193"/>
      <c r="P44" s="170"/>
      <c r="Q44" s="176"/>
      <c r="R44" s="194"/>
      <c r="S44" s="188"/>
      <c r="T44" s="188"/>
      <c r="U44" s="188"/>
      <c r="V44" s="188"/>
      <c r="W44" s="188"/>
      <c r="X44" s="188"/>
      <c r="Y44" s="188"/>
      <c r="Z44" s="188"/>
      <c r="AA44" s="170"/>
      <c r="AB44" s="236"/>
      <c r="AC44" s="236"/>
      <c r="AD44" s="236"/>
      <c r="AE44" s="236"/>
      <c r="AF44" s="236"/>
      <c r="AG44" s="236"/>
      <c r="AH44" s="236"/>
      <c r="AI44" s="236"/>
      <c r="AJ44" s="236"/>
      <c r="AK44" s="236"/>
      <c r="AL44" s="236"/>
      <c r="AM44" s="236"/>
      <c r="AN44" s="236"/>
      <c r="AO44" s="236"/>
      <c r="AP44" s="236"/>
      <c r="AQ44" s="236"/>
      <c r="AR44" s="236"/>
      <c r="AS44" s="236"/>
      <c r="AT44" s="236"/>
      <c r="AU44" s="236"/>
    </row>
    <row r="45" spans="1:47" ht="15.75" hidden="1" customHeight="1">
      <c r="A45" s="170" t="s">
        <v>53</v>
      </c>
      <c r="B45" s="171" t="s">
        <v>54</v>
      </c>
      <c r="C45" s="170" t="s">
        <v>128</v>
      </c>
      <c r="D45" s="170" t="s">
        <v>180</v>
      </c>
      <c r="E45" s="170" t="s">
        <v>181</v>
      </c>
      <c r="F45" s="170"/>
      <c r="G45" s="170" t="s">
        <v>71</v>
      </c>
      <c r="H45" s="170" t="s">
        <v>182</v>
      </c>
      <c r="I45" s="179">
        <v>1</v>
      </c>
      <c r="J45" s="179"/>
      <c r="K45" s="195"/>
      <c r="L45" s="192"/>
      <c r="M45" s="195"/>
      <c r="N45" s="195"/>
      <c r="O45" s="193"/>
      <c r="P45" s="170"/>
      <c r="Q45" s="182"/>
      <c r="R45" s="196"/>
      <c r="S45" s="195"/>
      <c r="T45" s="195"/>
      <c r="U45" s="195"/>
      <c r="V45" s="195"/>
      <c r="W45" s="195"/>
      <c r="X45" s="195"/>
      <c r="Y45" s="195"/>
      <c r="Z45" s="195"/>
      <c r="AA45" s="170"/>
      <c r="AB45" s="162"/>
      <c r="AC45" s="162"/>
      <c r="AD45" s="162"/>
      <c r="AE45" s="162"/>
      <c r="AF45" s="162"/>
      <c r="AG45" s="162"/>
      <c r="AH45" s="162"/>
      <c r="AI45" s="162"/>
      <c r="AJ45" s="162"/>
      <c r="AK45" s="162"/>
      <c r="AL45" s="162"/>
      <c r="AM45" s="162"/>
      <c r="AN45" s="162"/>
      <c r="AO45" s="162"/>
      <c r="AP45" s="162"/>
      <c r="AQ45" s="162"/>
      <c r="AR45" s="162"/>
      <c r="AS45" s="162"/>
      <c r="AT45" s="162"/>
      <c r="AU45" s="162"/>
    </row>
    <row r="46" spans="1:47" ht="15.75" hidden="1" customHeight="1">
      <c r="A46" s="170" t="s">
        <v>53</v>
      </c>
      <c r="B46" s="171" t="s">
        <v>54</v>
      </c>
      <c r="C46" s="170" t="s">
        <v>128</v>
      </c>
      <c r="D46" s="170" t="s">
        <v>183</v>
      </c>
      <c r="E46" s="170" t="s">
        <v>184</v>
      </c>
      <c r="F46" s="170"/>
      <c r="G46" s="170" t="s">
        <v>71</v>
      </c>
      <c r="H46" s="170" t="s">
        <v>182</v>
      </c>
      <c r="I46" s="179">
        <v>1</v>
      </c>
      <c r="J46" s="179"/>
      <c r="K46" s="195"/>
      <c r="L46" s="192"/>
      <c r="M46" s="195"/>
      <c r="N46" s="195"/>
      <c r="O46" s="193"/>
      <c r="P46" s="170"/>
      <c r="Q46" s="182"/>
      <c r="R46" s="196"/>
      <c r="S46" s="195"/>
      <c r="T46" s="195"/>
      <c r="U46" s="195"/>
      <c r="V46" s="195"/>
      <c r="W46" s="195"/>
      <c r="X46" s="195"/>
      <c r="Y46" s="195"/>
      <c r="Z46" s="195"/>
      <c r="AA46" s="170"/>
      <c r="AB46" s="162"/>
      <c r="AC46" s="162"/>
      <c r="AD46" s="162"/>
      <c r="AE46" s="162"/>
      <c r="AF46" s="162"/>
      <c r="AG46" s="162"/>
      <c r="AH46" s="162"/>
      <c r="AI46" s="162"/>
      <c r="AJ46" s="162"/>
      <c r="AK46" s="162"/>
      <c r="AL46" s="162"/>
      <c r="AM46" s="162"/>
      <c r="AN46" s="162"/>
      <c r="AO46" s="162"/>
      <c r="AP46" s="162"/>
      <c r="AQ46" s="162"/>
      <c r="AR46" s="162"/>
      <c r="AS46" s="162"/>
      <c r="AT46" s="162"/>
      <c r="AU46" s="162"/>
    </row>
    <row r="47" spans="1:47" ht="15.75" customHeight="1">
      <c r="A47" s="170" t="s">
        <v>53</v>
      </c>
      <c r="B47" s="171" t="s">
        <v>54</v>
      </c>
      <c r="C47" s="170" t="s">
        <v>128</v>
      </c>
      <c r="D47" s="170" t="s">
        <v>185</v>
      </c>
      <c r="E47" s="170" t="s">
        <v>186</v>
      </c>
      <c r="F47" s="170" t="s">
        <v>1816</v>
      </c>
      <c r="G47" s="170" t="s">
        <v>62</v>
      </c>
      <c r="H47" s="170" t="s">
        <v>187</v>
      </c>
      <c r="I47" s="170" t="s">
        <v>188</v>
      </c>
      <c r="J47" s="525" t="s">
        <v>1090</v>
      </c>
      <c r="K47" s="188" t="s">
        <v>1857</v>
      </c>
      <c r="L47" s="528"/>
      <c r="M47" s="188"/>
      <c r="N47" s="188"/>
      <c r="O47" s="193"/>
      <c r="P47" s="170" t="s">
        <v>1833</v>
      </c>
      <c r="Q47" s="176"/>
      <c r="R47" s="194"/>
      <c r="S47" s="188"/>
      <c r="T47" s="188"/>
      <c r="U47" s="188"/>
      <c r="V47" s="188"/>
      <c r="W47" s="188"/>
      <c r="X47" s="188"/>
      <c r="Y47" s="188"/>
      <c r="Z47" s="188"/>
      <c r="AA47" s="170"/>
      <c r="AB47" s="236"/>
      <c r="AC47" s="236"/>
      <c r="AD47" s="236"/>
      <c r="AE47" s="236"/>
      <c r="AF47" s="236"/>
      <c r="AG47" s="236"/>
      <c r="AH47" s="236"/>
      <c r="AI47" s="236"/>
      <c r="AJ47" s="236"/>
      <c r="AK47" s="236"/>
      <c r="AL47" s="236"/>
      <c r="AM47" s="236"/>
      <c r="AN47" s="236"/>
      <c r="AO47" s="236"/>
      <c r="AP47" s="236"/>
      <c r="AQ47" s="236"/>
      <c r="AR47" s="236"/>
      <c r="AS47" s="236"/>
      <c r="AT47" s="236"/>
      <c r="AU47" s="236"/>
    </row>
    <row r="48" spans="1:47" ht="15.75" customHeight="1">
      <c r="A48" s="170" t="s">
        <v>53</v>
      </c>
      <c r="B48" s="171" t="s">
        <v>54</v>
      </c>
      <c r="C48" s="170" t="s">
        <v>128</v>
      </c>
      <c r="D48" s="170" t="s">
        <v>189</v>
      </c>
      <c r="E48" s="170" t="s">
        <v>190</v>
      </c>
      <c r="F48" s="170" t="s">
        <v>1816</v>
      </c>
      <c r="G48" s="170" t="s">
        <v>62</v>
      </c>
      <c r="H48" s="170" t="s">
        <v>191</v>
      </c>
      <c r="I48" s="170" t="s">
        <v>192</v>
      </c>
      <c r="J48" s="525" t="s">
        <v>8</v>
      </c>
      <c r="K48" s="188" t="s">
        <v>1858</v>
      </c>
      <c r="L48" s="525">
        <v>2023</v>
      </c>
      <c r="M48" s="188" t="s">
        <v>9</v>
      </c>
      <c r="N48" s="188" t="s">
        <v>1859</v>
      </c>
      <c r="O48" s="193"/>
      <c r="P48" s="170"/>
      <c r="Q48" s="176"/>
      <c r="R48" s="194"/>
      <c r="S48" s="188"/>
      <c r="T48" s="188"/>
      <c r="U48" s="188"/>
      <c r="V48" s="188"/>
      <c r="W48" s="188"/>
      <c r="X48" s="188"/>
      <c r="Y48" s="188"/>
      <c r="Z48" s="188"/>
      <c r="AA48" s="170"/>
      <c r="AB48" s="236"/>
      <c r="AC48" s="236"/>
      <c r="AD48" s="236"/>
      <c r="AE48" s="236"/>
      <c r="AF48" s="236"/>
      <c r="AG48" s="236"/>
      <c r="AH48" s="236"/>
      <c r="AI48" s="236"/>
      <c r="AJ48" s="236"/>
      <c r="AK48" s="236"/>
      <c r="AL48" s="236"/>
      <c r="AM48" s="236"/>
      <c r="AN48" s="236"/>
      <c r="AO48" s="236"/>
      <c r="AP48" s="236"/>
      <c r="AQ48" s="236"/>
      <c r="AR48" s="236"/>
      <c r="AS48" s="236"/>
      <c r="AT48" s="236"/>
      <c r="AU48" s="236"/>
    </row>
    <row r="49" spans="1:47" ht="15.75" customHeight="1">
      <c r="A49" s="170" t="s">
        <v>53</v>
      </c>
      <c r="B49" s="171" t="s">
        <v>54</v>
      </c>
      <c r="C49" s="170" t="s">
        <v>128</v>
      </c>
      <c r="D49" s="170" t="s">
        <v>193</v>
      </c>
      <c r="E49" s="170" t="s">
        <v>190</v>
      </c>
      <c r="F49" s="170" t="s">
        <v>1816</v>
      </c>
      <c r="G49" s="170" t="s">
        <v>62</v>
      </c>
      <c r="H49" s="170" t="s">
        <v>194</v>
      </c>
      <c r="I49" s="170" t="s">
        <v>135</v>
      </c>
      <c r="J49" s="525" t="s">
        <v>8</v>
      </c>
      <c r="K49" s="188" t="s">
        <v>1858</v>
      </c>
      <c r="L49" s="525">
        <v>2023</v>
      </c>
      <c r="M49" s="188" t="s">
        <v>9</v>
      </c>
      <c r="N49" s="188" t="s">
        <v>1859</v>
      </c>
      <c r="O49" s="193"/>
      <c r="P49" s="170"/>
      <c r="Q49" s="176"/>
      <c r="R49" s="194"/>
      <c r="S49" s="188"/>
      <c r="T49" s="188"/>
      <c r="U49" s="188"/>
      <c r="V49" s="188"/>
      <c r="W49" s="188"/>
      <c r="X49" s="188"/>
      <c r="Y49" s="188"/>
      <c r="Z49" s="188"/>
      <c r="AA49" s="170"/>
      <c r="AB49" s="236"/>
      <c r="AC49" s="236"/>
      <c r="AD49" s="236"/>
      <c r="AE49" s="236"/>
      <c r="AF49" s="236"/>
      <c r="AG49" s="236"/>
      <c r="AH49" s="236"/>
      <c r="AI49" s="236"/>
      <c r="AJ49" s="236"/>
      <c r="AK49" s="236"/>
      <c r="AL49" s="236"/>
      <c r="AM49" s="236"/>
      <c r="AN49" s="236"/>
      <c r="AO49" s="236"/>
      <c r="AP49" s="236"/>
      <c r="AQ49" s="236"/>
      <c r="AR49" s="236"/>
      <c r="AS49" s="236"/>
      <c r="AT49" s="236"/>
      <c r="AU49" s="236"/>
    </row>
    <row r="50" spans="1:47" ht="15.75" customHeight="1">
      <c r="A50" s="170" t="s">
        <v>53</v>
      </c>
      <c r="B50" s="171" t="s">
        <v>195</v>
      </c>
      <c r="C50" s="170" t="s">
        <v>196</v>
      </c>
      <c r="D50" s="170" t="s">
        <v>197</v>
      </c>
      <c r="E50" s="170" t="s">
        <v>198</v>
      </c>
      <c r="F50" s="172"/>
      <c r="G50" s="172" t="s">
        <v>62</v>
      </c>
      <c r="H50" s="172"/>
      <c r="I50" s="173"/>
      <c r="J50" s="524">
        <v>0.01</v>
      </c>
      <c r="K50" s="172"/>
      <c r="L50" s="524"/>
      <c r="M50" s="173"/>
      <c r="N50" s="173"/>
      <c r="O50" s="175"/>
      <c r="P50" s="172"/>
      <c r="Q50" s="182"/>
      <c r="R50" s="189"/>
      <c r="S50" s="173"/>
      <c r="T50" s="173"/>
      <c r="U50" s="173"/>
      <c r="V50" s="173"/>
      <c r="W50" s="173"/>
      <c r="X50" s="173"/>
      <c r="Y50" s="173"/>
      <c r="Z50" s="173"/>
      <c r="AA50" s="172"/>
      <c r="AB50" s="236"/>
      <c r="AC50" s="236"/>
      <c r="AD50" s="236"/>
      <c r="AE50" s="236"/>
      <c r="AF50" s="236"/>
      <c r="AG50" s="236"/>
      <c r="AH50" s="236"/>
      <c r="AI50" s="236"/>
      <c r="AJ50" s="236"/>
      <c r="AK50" s="236"/>
      <c r="AL50" s="236"/>
      <c r="AM50" s="236"/>
      <c r="AN50" s="236"/>
      <c r="AO50" s="236"/>
      <c r="AP50" s="236"/>
      <c r="AQ50" s="236"/>
      <c r="AR50" s="236"/>
      <c r="AS50" s="236"/>
      <c r="AT50" s="236"/>
      <c r="AU50" s="236"/>
    </row>
    <row r="51" spans="1:47" ht="15.75" customHeight="1">
      <c r="A51" s="170" t="s">
        <v>53</v>
      </c>
      <c r="B51" s="171" t="s">
        <v>195</v>
      </c>
      <c r="C51" s="170" t="s">
        <v>196</v>
      </c>
      <c r="D51" s="170" t="s">
        <v>199</v>
      </c>
      <c r="E51" s="178" t="s">
        <v>200</v>
      </c>
      <c r="F51" s="170" t="s">
        <v>1824</v>
      </c>
      <c r="G51" s="170" t="s">
        <v>62</v>
      </c>
      <c r="H51" s="170" t="s">
        <v>201</v>
      </c>
      <c r="I51" s="179">
        <v>1</v>
      </c>
      <c r="J51" s="525" t="s">
        <v>1090</v>
      </c>
      <c r="K51" s="197" t="s">
        <v>1860</v>
      </c>
      <c r="L51" s="525"/>
      <c r="M51" s="179"/>
      <c r="N51" s="179"/>
      <c r="P51" s="170" t="s">
        <v>1861</v>
      </c>
      <c r="Q51" s="182"/>
      <c r="R51" s="183"/>
      <c r="S51" s="179"/>
      <c r="T51" s="179"/>
      <c r="U51" s="179"/>
      <c r="V51" s="179"/>
      <c r="W51" s="179"/>
      <c r="X51" s="179"/>
      <c r="Y51" s="179"/>
      <c r="Z51" s="179"/>
      <c r="AA51" s="170"/>
      <c r="AB51" s="236"/>
      <c r="AC51" s="236"/>
      <c r="AD51" s="236"/>
      <c r="AE51" s="236"/>
      <c r="AF51" s="236"/>
      <c r="AG51" s="236"/>
      <c r="AH51" s="236"/>
      <c r="AI51" s="236"/>
      <c r="AJ51" s="236"/>
      <c r="AK51" s="236"/>
      <c r="AL51" s="236"/>
      <c r="AM51" s="236"/>
      <c r="AN51" s="236"/>
      <c r="AO51" s="236"/>
      <c r="AP51" s="236"/>
      <c r="AQ51" s="236"/>
      <c r="AR51" s="236"/>
      <c r="AS51" s="236"/>
      <c r="AT51" s="236"/>
      <c r="AU51" s="236"/>
    </row>
    <row r="52" spans="1:47" ht="57.75" customHeight="1">
      <c r="A52" s="170" t="s">
        <v>53</v>
      </c>
      <c r="B52" s="171" t="s">
        <v>195</v>
      </c>
      <c r="C52" s="170" t="s">
        <v>196</v>
      </c>
      <c r="D52" s="170" t="s">
        <v>202</v>
      </c>
      <c r="E52" s="178" t="s">
        <v>203</v>
      </c>
      <c r="F52" s="170" t="s">
        <v>1824</v>
      </c>
      <c r="G52" s="170" t="s">
        <v>62</v>
      </c>
      <c r="H52" s="170" t="s">
        <v>204</v>
      </c>
      <c r="I52" s="179">
        <v>1</v>
      </c>
      <c r="J52" s="525" t="s">
        <v>1191</v>
      </c>
      <c r="K52" s="170" t="s">
        <v>1862</v>
      </c>
      <c r="L52" s="525">
        <v>2024</v>
      </c>
      <c r="M52" s="170" t="s">
        <v>9</v>
      </c>
      <c r="N52" s="170" t="s">
        <v>1863</v>
      </c>
      <c r="O52" s="181"/>
      <c r="P52" s="170"/>
      <c r="Q52" s="176"/>
      <c r="R52" s="184"/>
      <c r="S52" s="170"/>
      <c r="T52" s="170"/>
      <c r="U52" s="170"/>
      <c r="V52" s="170"/>
      <c r="W52" s="170"/>
      <c r="X52" s="170"/>
      <c r="Y52" s="170"/>
      <c r="Z52" s="170"/>
      <c r="AA52" s="170"/>
      <c r="AB52" s="236"/>
      <c r="AC52" s="236"/>
      <c r="AD52" s="236"/>
      <c r="AE52" s="236"/>
      <c r="AF52" s="236"/>
      <c r="AG52" s="236"/>
      <c r="AH52" s="236"/>
      <c r="AI52" s="236"/>
      <c r="AJ52" s="236"/>
      <c r="AK52" s="236"/>
      <c r="AL52" s="236"/>
      <c r="AM52" s="236"/>
      <c r="AN52" s="236"/>
      <c r="AO52" s="236"/>
      <c r="AP52" s="236"/>
      <c r="AQ52" s="236"/>
      <c r="AR52" s="236"/>
      <c r="AS52" s="236"/>
      <c r="AT52" s="236"/>
      <c r="AU52" s="236"/>
    </row>
    <row r="53" spans="1:47" ht="15.75" customHeight="1">
      <c r="A53" s="170" t="s">
        <v>53</v>
      </c>
      <c r="B53" s="171" t="s">
        <v>195</v>
      </c>
      <c r="C53" s="170" t="s">
        <v>196</v>
      </c>
      <c r="D53" s="170" t="s">
        <v>205</v>
      </c>
      <c r="E53" s="170" t="s">
        <v>206</v>
      </c>
      <c r="F53" s="172"/>
      <c r="G53" s="172" t="s">
        <v>62</v>
      </c>
      <c r="H53" s="172"/>
      <c r="I53" s="173"/>
      <c r="J53" s="524">
        <v>0.01</v>
      </c>
      <c r="K53" s="172"/>
      <c r="L53" s="524"/>
      <c r="M53" s="173"/>
      <c r="N53" s="173"/>
      <c r="O53" s="175"/>
      <c r="P53" s="172"/>
      <c r="Q53" s="182"/>
      <c r="R53" s="189"/>
      <c r="S53" s="173"/>
      <c r="T53" s="173"/>
      <c r="U53" s="173"/>
      <c r="V53" s="173"/>
      <c r="W53" s="173"/>
      <c r="X53" s="173"/>
      <c r="Y53" s="173"/>
      <c r="Z53" s="173"/>
      <c r="AA53" s="172"/>
      <c r="AB53" s="236"/>
      <c r="AC53" s="236"/>
      <c r="AD53" s="236"/>
      <c r="AE53" s="236"/>
      <c r="AF53" s="236"/>
      <c r="AG53" s="236"/>
      <c r="AH53" s="236"/>
      <c r="AI53" s="236"/>
      <c r="AJ53" s="236"/>
      <c r="AK53" s="236"/>
      <c r="AL53" s="236"/>
      <c r="AM53" s="236"/>
      <c r="AN53" s="236"/>
      <c r="AO53" s="236"/>
      <c r="AP53" s="236"/>
      <c r="AQ53" s="236"/>
      <c r="AR53" s="236"/>
      <c r="AS53" s="236"/>
      <c r="AT53" s="236"/>
      <c r="AU53" s="236"/>
    </row>
    <row r="54" spans="1:47" ht="15.75" customHeight="1">
      <c r="A54" s="170" t="s">
        <v>53</v>
      </c>
      <c r="B54" s="171" t="s">
        <v>195</v>
      </c>
      <c r="C54" s="170" t="s">
        <v>196</v>
      </c>
      <c r="D54" s="170" t="s">
        <v>207</v>
      </c>
      <c r="E54" s="178" t="s">
        <v>208</v>
      </c>
      <c r="F54" s="170" t="s">
        <v>1821</v>
      </c>
      <c r="G54" s="170" t="s">
        <v>62</v>
      </c>
      <c r="H54" s="170" t="s">
        <v>209</v>
      </c>
      <c r="I54" s="170" t="s">
        <v>210</v>
      </c>
      <c r="J54" s="525" t="s">
        <v>8</v>
      </c>
      <c r="K54" s="170" t="s">
        <v>1864</v>
      </c>
      <c r="L54" s="525">
        <v>2022</v>
      </c>
      <c r="M54" s="170" t="s">
        <v>9</v>
      </c>
      <c r="N54" s="188" t="s">
        <v>1865</v>
      </c>
      <c r="P54" s="188" t="s">
        <v>1866</v>
      </c>
      <c r="Q54" s="176"/>
      <c r="R54" s="184"/>
      <c r="S54" s="170"/>
      <c r="T54" s="170"/>
      <c r="U54" s="170"/>
      <c r="V54" s="170"/>
      <c r="W54" s="170"/>
      <c r="X54" s="170"/>
      <c r="Y54" s="170"/>
      <c r="Z54" s="170"/>
      <c r="AA54" s="170"/>
      <c r="AB54" s="236"/>
      <c r="AC54" s="236"/>
      <c r="AD54" s="236"/>
      <c r="AE54" s="236"/>
      <c r="AF54" s="236"/>
      <c r="AG54" s="236"/>
      <c r="AH54" s="236"/>
      <c r="AI54" s="236"/>
      <c r="AJ54" s="236"/>
      <c r="AK54" s="236"/>
      <c r="AL54" s="236"/>
      <c r="AM54" s="236"/>
      <c r="AN54" s="236"/>
      <c r="AO54" s="236"/>
      <c r="AP54" s="236"/>
      <c r="AQ54" s="236"/>
      <c r="AR54" s="236"/>
      <c r="AS54" s="236"/>
      <c r="AT54" s="236"/>
      <c r="AU54" s="236"/>
    </row>
    <row r="55" spans="1:47" ht="15.75" customHeight="1">
      <c r="A55" s="170" t="s">
        <v>53</v>
      </c>
      <c r="B55" s="171" t="s">
        <v>195</v>
      </c>
      <c r="C55" s="170" t="s">
        <v>196</v>
      </c>
      <c r="D55" s="170" t="s">
        <v>211</v>
      </c>
      <c r="E55" s="178" t="s">
        <v>212</v>
      </c>
      <c r="F55" s="170" t="s">
        <v>1821</v>
      </c>
      <c r="G55" s="170" t="s">
        <v>62</v>
      </c>
      <c r="H55" s="170" t="s">
        <v>213</v>
      </c>
      <c r="I55" s="170" t="s">
        <v>214</v>
      </c>
      <c r="J55" s="525" t="s">
        <v>8</v>
      </c>
      <c r="K55" s="170" t="s">
        <v>1867</v>
      </c>
      <c r="L55" s="525">
        <v>2023</v>
      </c>
      <c r="M55" s="170" t="s">
        <v>9</v>
      </c>
      <c r="N55" s="188" t="s">
        <v>1868</v>
      </c>
      <c r="O55" s="198"/>
      <c r="P55" s="188" t="s">
        <v>1869</v>
      </c>
      <c r="Q55" s="176"/>
      <c r="R55" s="184"/>
      <c r="S55" s="170"/>
      <c r="T55" s="170"/>
      <c r="U55" s="170"/>
      <c r="V55" s="170"/>
      <c r="W55" s="170"/>
      <c r="X55" s="170"/>
      <c r="Y55" s="170"/>
      <c r="Z55" s="170"/>
      <c r="AA55" s="170"/>
      <c r="AB55" s="236"/>
      <c r="AC55" s="236"/>
      <c r="AD55" s="236"/>
      <c r="AE55" s="236"/>
      <c r="AF55" s="236"/>
      <c r="AG55" s="236"/>
      <c r="AH55" s="236"/>
      <c r="AI55" s="236"/>
      <c r="AJ55" s="236"/>
      <c r="AK55" s="236"/>
      <c r="AL55" s="236"/>
      <c r="AM55" s="236"/>
      <c r="AN55" s="236"/>
      <c r="AO55" s="236"/>
      <c r="AP55" s="236"/>
      <c r="AQ55" s="236"/>
      <c r="AR55" s="236"/>
      <c r="AS55" s="236"/>
      <c r="AT55" s="236"/>
      <c r="AU55" s="236"/>
    </row>
    <row r="56" spans="1:47" ht="15.75" customHeight="1">
      <c r="A56" s="170" t="s">
        <v>53</v>
      </c>
      <c r="B56" s="171" t="s">
        <v>195</v>
      </c>
      <c r="C56" s="170" t="s">
        <v>196</v>
      </c>
      <c r="D56" s="170" t="s">
        <v>215</v>
      </c>
      <c r="E56" s="170" t="s">
        <v>216</v>
      </c>
      <c r="F56" s="170" t="s">
        <v>1821</v>
      </c>
      <c r="G56" s="170" t="s">
        <v>62</v>
      </c>
      <c r="H56" s="170" t="s">
        <v>217</v>
      </c>
      <c r="I56" s="170" t="s">
        <v>214</v>
      </c>
      <c r="J56" s="525" t="s">
        <v>8</v>
      </c>
      <c r="K56" s="170" t="s">
        <v>1870</v>
      </c>
      <c r="L56" s="525">
        <v>2023</v>
      </c>
      <c r="M56" s="170" t="s">
        <v>9</v>
      </c>
      <c r="N56" s="188" t="s">
        <v>1871</v>
      </c>
      <c r="O56" s="199"/>
      <c r="P56" s="188" t="s">
        <v>1872</v>
      </c>
      <c r="Q56" s="176"/>
      <c r="R56" s="184"/>
      <c r="S56" s="170"/>
      <c r="T56" s="170"/>
      <c r="U56" s="170"/>
      <c r="V56" s="170"/>
      <c r="W56" s="170"/>
      <c r="X56" s="170"/>
      <c r="Y56" s="170"/>
      <c r="Z56" s="170"/>
      <c r="AA56" s="170"/>
      <c r="AB56" s="236"/>
      <c r="AC56" s="236"/>
      <c r="AD56" s="236"/>
      <c r="AE56" s="236"/>
      <c r="AF56" s="236"/>
      <c r="AG56" s="236"/>
      <c r="AH56" s="236"/>
      <c r="AI56" s="236"/>
      <c r="AJ56" s="236"/>
      <c r="AK56" s="236"/>
      <c r="AL56" s="236"/>
      <c r="AM56" s="236"/>
      <c r="AN56" s="236"/>
      <c r="AO56" s="236"/>
      <c r="AP56" s="236"/>
      <c r="AQ56" s="236"/>
      <c r="AR56" s="236"/>
      <c r="AS56" s="236"/>
      <c r="AT56" s="236"/>
      <c r="AU56" s="236"/>
    </row>
    <row r="57" spans="1:47" ht="15.75" customHeight="1">
      <c r="A57" s="170" t="s">
        <v>53</v>
      </c>
      <c r="B57" s="171" t="s">
        <v>195</v>
      </c>
      <c r="C57" s="170" t="s">
        <v>196</v>
      </c>
      <c r="D57" s="170" t="s">
        <v>218</v>
      </c>
      <c r="E57" s="170" t="s">
        <v>219</v>
      </c>
      <c r="F57" s="170" t="s">
        <v>1821</v>
      </c>
      <c r="G57" s="170" t="s">
        <v>62</v>
      </c>
      <c r="H57" s="170" t="s">
        <v>220</v>
      </c>
      <c r="I57" s="170" t="s">
        <v>221</v>
      </c>
      <c r="J57" s="525" t="s">
        <v>8</v>
      </c>
      <c r="K57" s="170" t="s">
        <v>1867</v>
      </c>
      <c r="L57" s="525">
        <v>2023</v>
      </c>
      <c r="M57" s="170" t="s">
        <v>9</v>
      </c>
      <c r="N57" s="188" t="s">
        <v>1873</v>
      </c>
      <c r="O57" s="199"/>
      <c r="P57" s="200"/>
      <c r="Q57" s="176"/>
      <c r="R57" s="184"/>
      <c r="S57" s="170"/>
      <c r="T57" s="170"/>
      <c r="U57" s="170"/>
      <c r="V57" s="170"/>
      <c r="W57" s="170"/>
      <c r="X57" s="170"/>
      <c r="Y57" s="170"/>
      <c r="Z57" s="170"/>
      <c r="AA57" s="170"/>
      <c r="AB57" s="236"/>
      <c r="AC57" s="236"/>
      <c r="AD57" s="236"/>
      <c r="AE57" s="236"/>
      <c r="AF57" s="236"/>
      <c r="AG57" s="236"/>
      <c r="AH57" s="236"/>
      <c r="AI57" s="236"/>
      <c r="AJ57" s="236"/>
      <c r="AK57" s="236"/>
      <c r="AL57" s="236"/>
      <c r="AM57" s="236"/>
      <c r="AN57" s="236"/>
      <c r="AO57" s="236"/>
      <c r="AP57" s="236"/>
      <c r="AQ57" s="236"/>
      <c r="AR57" s="236"/>
      <c r="AS57" s="236"/>
      <c r="AT57" s="236"/>
      <c r="AU57" s="236"/>
    </row>
    <row r="58" spans="1:47" ht="15.75" customHeight="1">
      <c r="A58" s="170" t="s">
        <v>53</v>
      </c>
      <c r="B58" s="171" t="s">
        <v>195</v>
      </c>
      <c r="C58" s="170" t="s">
        <v>222</v>
      </c>
      <c r="D58" s="170" t="s">
        <v>223</v>
      </c>
      <c r="E58" s="170" t="s">
        <v>224</v>
      </c>
      <c r="F58" s="172"/>
      <c r="G58" s="172" t="s">
        <v>62</v>
      </c>
      <c r="H58" s="172" t="s">
        <v>225</v>
      </c>
      <c r="I58" s="173" t="s">
        <v>226</v>
      </c>
      <c r="J58" s="524">
        <v>0.01</v>
      </c>
      <c r="K58" s="172"/>
      <c r="L58" s="524"/>
      <c r="M58" s="173"/>
      <c r="N58" s="173"/>
      <c r="O58" s="199"/>
      <c r="P58" s="200"/>
      <c r="Q58" s="182"/>
      <c r="R58" s="189"/>
      <c r="S58" s="173"/>
      <c r="T58" s="173"/>
      <c r="U58" s="173"/>
      <c r="V58" s="173"/>
      <c r="W58" s="173"/>
      <c r="X58" s="173"/>
      <c r="Y58" s="173"/>
      <c r="Z58" s="173"/>
      <c r="AA58" s="172"/>
      <c r="AB58" s="236"/>
      <c r="AC58" s="236"/>
      <c r="AD58" s="236"/>
      <c r="AE58" s="236"/>
      <c r="AF58" s="236"/>
      <c r="AG58" s="236"/>
      <c r="AH58" s="236"/>
      <c r="AI58" s="236"/>
      <c r="AJ58" s="236"/>
      <c r="AK58" s="236"/>
      <c r="AL58" s="236"/>
      <c r="AM58" s="236"/>
      <c r="AN58" s="236"/>
      <c r="AO58" s="236"/>
      <c r="AP58" s="236"/>
      <c r="AQ58" s="236"/>
      <c r="AR58" s="236"/>
      <c r="AS58" s="236"/>
      <c r="AT58" s="236"/>
      <c r="AU58" s="236"/>
    </row>
    <row r="59" spans="1:47" ht="15.75" customHeight="1">
      <c r="A59" s="170" t="s">
        <v>53</v>
      </c>
      <c r="B59" s="171" t="s">
        <v>195</v>
      </c>
      <c r="C59" s="170" t="s">
        <v>222</v>
      </c>
      <c r="D59" s="170" t="s">
        <v>227</v>
      </c>
      <c r="E59" s="178" t="s">
        <v>228</v>
      </c>
      <c r="F59" s="170" t="s">
        <v>1821</v>
      </c>
      <c r="G59" s="170" t="s">
        <v>62</v>
      </c>
      <c r="H59" s="170" t="s">
        <v>229</v>
      </c>
      <c r="I59" s="170" t="s">
        <v>226</v>
      </c>
      <c r="J59" s="525" t="s">
        <v>8</v>
      </c>
      <c r="K59" s="170" t="s">
        <v>1874</v>
      </c>
      <c r="L59" s="525">
        <v>2022</v>
      </c>
      <c r="M59" s="170" t="s">
        <v>9</v>
      </c>
      <c r="N59" s="170" t="s">
        <v>1875</v>
      </c>
      <c r="O59" s="201"/>
      <c r="P59" s="200"/>
      <c r="Q59" s="176"/>
      <c r="R59" s="184"/>
      <c r="S59" s="170"/>
      <c r="T59" s="170"/>
      <c r="U59" s="170"/>
      <c r="V59" s="170"/>
      <c r="W59" s="170"/>
      <c r="X59" s="170"/>
      <c r="Y59" s="170"/>
      <c r="Z59" s="170"/>
      <c r="AA59" s="170"/>
      <c r="AB59" s="236"/>
      <c r="AC59" s="236"/>
      <c r="AD59" s="236"/>
      <c r="AE59" s="236"/>
      <c r="AF59" s="236"/>
      <c r="AG59" s="236"/>
      <c r="AH59" s="236"/>
      <c r="AI59" s="236"/>
      <c r="AJ59" s="236"/>
      <c r="AK59" s="236"/>
      <c r="AL59" s="236"/>
      <c r="AM59" s="236"/>
      <c r="AN59" s="236"/>
      <c r="AO59" s="236"/>
      <c r="AP59" s="236"/>
      <c r="AQ59" s="236"/>
      <c r="AR59" s="236"/>
      <c r="AS59" s="236"/>
      <c r="AT59" s="236"/>
      <c r="AU59" s="236"/>
    </row>
    <row r="60" spans="1:47" ht="114" customHeight="1">
      <c r="A60" s="170" t="s">
        <v>53</v>
      </c>
      <c r="B60" s="171" t="s">
        <v>195</v>
      </c>
      <c r="C60" s="170" t="s">
        <v>222</v>
      </c>
      <c r="D60" s="170" t="s">
        <v>230</v>
      </c>
      <c r="E60" s="178" t="s">
        <v>231</v>
      </c>
      <c r="F60" s="170" t="s">
        <v>1821</v>
      </c>
      <c r="G60" s="170" t="s">
        <v>62</v>
      </c>
      <c r="H60" s="170" t="s">
        <v>232</v>
      </c>
      <c r="I60" s="170" t="s">
        <v>226</v>
      </c>
      <c r="J60" s="525" t="s">
        <v>1191</v>
      </c>
      <c r="K60" s="170" t="s">
        <v>1876</v>
      </c>
      <c r="L60" s="525">
        <v>2023</v>
      </c>
      <c r="M60" s="170" t="s">
        <v>9</v>
      </c>
      <c r="N60" s="170" t="s">
        <v>1877</v>
      </c>
      <c r="O60" s="181"/>
      <c r="P60" s="198"/>
      <c r="Q60" s="176"/>
      <c r="R60" s="184"/>
      <c r="S60" s="170"/>
      <c r="T60" s="170"/>
      <c r="U60" s="170"/>
      <c r="V60" s="170"/>
      <c r="W60" s="170"/>
      <c r="X60" s="170"/>
      <c r="Y60" s="170"/>
      <c r="Z60" s="170"/>
      <c r="AA60" s="170"/>
      <c r="AB60" s="236"/>
      <c r="AC60" s="236"/>
      <c r="AD60" s="236"/>
      <c r="AE60" s="236"/>
      <c r="AF60" s="236"/>
      <c r="AG60" s="236"/>
      <c r="AH60" s="236"/>
      <c r="AI60" s="236"/>
      <c r="AJ60" s="236"/>
      <c r="AK60" s="236"/>
      <c r="AL60" s="236"/>
      <c r="AM60" s="236"/>
      <c r="AN60" s="236"/>
      <c r="AO60" s="236"/>
      <c r="AP60" s="236"/>
      <c r="AQ60" s="236"/>
      <c r="AR60" s="236"/>
      <c r="AS60" s="236"/>
      <c r="AT60" s="236"/>
      <c r="AU60" s="236"/>
    </row>
    <row r="61" spans="1:47" ht="15.75" customHeight="1">
      <c r="A61" s="170" t="s">
        <v>53</v>
      </c>
      <c r="B61" s="171" t="s">
        <v>195</v>
      </c>
      <c r="C61" s="170" t="s">
        <v>222</v>
      </c>
      <c r="D61" s="170" t="s">
        <v>233</v>
      </c>
      <c r="E61" s="178" t="s">
        <v>234</v>
      </c>
      <c r="F61" s="170" t="s">
        <v>1821</v>
      </c>
      <c r="G61" s="170" t="s">
        <v>62</v>
      </c>
      <c r="H61" s="170" t="s">
        <v>235</v>
      </c>
      <c r="I61" s="170" t="s">
        <v>226</v>
      </c>
      <c r="J61" s="525" t="s">
        <v>1191</v>
      </c>
      <c r="K61" s="170" t="s">
        <v>1878</v>
      </c>
      <c r="L61" s="525">
        <v>2023</v>
      </c>
      <c r="M61" s="170" t="s">
        <v>11</v>
      </c>
      <c r="N61" s="170" t="s">
        <v>1879</v>
      </c>
      <c r="O61" s="181"/>
      <c r="P61" s="170"/>
      <c r="Q61" s="176"/>
      <c r="R61" s="184"/>
      <c r="S61" s="170"/>
      <c r="T61" s="170"/>
      <c r="U61" s="170"/>
      <c r="V61" s="170"/>
      <c r="W61" s="170"/>
      <c r="X61" s="170"/>
      <c r="Y61" s="170"/>
      <c r="Z61" s="170"/>
      <c r="AA61" s="170"/>
      <c r="AB61" s="236"/>
      <c r="AC61" s="236"/>
      <c r="AD61" s="236"/>
      <c r="AE61" s="236"/>
      <c r="AF61" s="236"/>
      <c r="AG61" s="236"/>
      <c r="AH61" s="236"/>
      <c r="AI61" s="236"/>
      <c r="AJ61" s="236"/>
      <c r="AK61" s="236"/>
      <c r="AL61" s="236"/>
      <c r="AM61" s="236"/>
      <c r="AN61" s="236"/>
      <c r="AO61" s="236"/>
      <c r="AP61" s="236"/>
      <c r="AQ61" s="236"/>
      <c r="AR61" s="236"/>
      <c r="AS61" s="236"/>
      <c r="AT61" s="236"/>
      <c r="AU61" s="236"/>
    </row>
    <row r="62" spans="1:47" ht="15.75" customHeight="1">
      <c r="A62" s="170" t="s">
        <v>53</v>
      </c>
      <c r="B62" s="171" t="s">
        <v>195</v>
      </c>
      <c r="C62" s="170" t="s">
        <v>222</v>
      </c>
      <c r="D62" s="170" t="s">
        <v>236</v>
      </c>
      <c r="E62" s="178" t="s">
        <v>237</v>
      </c>
      <c r="F62" s="170" t="s">
        <v>1821</v>
      </c>
      <c r="G62" s="170" t="s">
        <v>62</v>
      </c>
      <c r="H62" s="170" t="s">
        <v>238</v>
      </c>
      <c r="I62" s="170" t="s">
        <v>226</v>
      </c>
      <c r="J62" s="525" t="s">
        <v>1191</v>
      </c>
      <c r="K62" s="170" t="s">
        <v>1880</v>
      </c>
      <c r="L62" s="525">
        <v>2023</v>
      </c>
      <c r="M62" s="170" t="s">
        <v>11</v>
      </c>
      <c r="N62" s="170" t="s">
        <v>1879</v>
      </c>
      <c r="O62" s="181"/>
      <c r="P62" s="170"/>
      <c r="Q62" s="176"/>
      <c r="R62" s="184"/>
      <c r="S62" s="170"/>
      <c r="T62" s="170"/>
      <c r="U62" s="170"/>
      <c r="V62" s="170"/>
      <c r="W62" s="170"/>
      <c r="X62" s="170"/>
      <c r="Y62" s="170"/>
      <c r="Z62" s="170"/>
      <c r="AA62" s="170"/>
      <c r="AB62" s="236"/>
      <c r="AC62" s="236"/>
      <c r="AD62" s="236"/>
      <c r="AE62" s="236"/>
      <c r="AF62" s="236"/>
      <c r="AG62" s="236"/>
      <c r="AH62" s="236"/>
      <c r="AI62" s="236"/>
      <c r="AJ62" s="236"/>
      <c r="AK62" s="236"/>
      <c r="AL62" s="236"/>
      <c r="AM62" s="236"/>
      <c r="AN62" s="236"/>
      <c r="AO62" s="236"/>
      <c r="AP62" s="236"/>
      <c r="AQ62" s="236"/>
      <c r="AR62" s="236"/>
      <c r="AS62" s="236"/>
      <c r="AT62" s="236"/>
      <c r="AU62" s="236"/>
    </row>
    <row r="63" spans="1:47" ht="15.75" customHeight="1">
      <c r="A63" s="170" t="s">
        <v>53</v>
      </c>
      <c r="B63" s="171" t="s">
        <v>195</v>
      </c>
      <c r="C63" s="170" t="s">
        <v>222</v>
      </c>
      <c r="D63" s="170" t="s">
        <v>239</v>
      </c>
      <c r="E63" s="178" t="s">
        <v>240</v>
      </c>
      <c r="F63" s="170" t="s">
        <v>1821</v>
      </c>
      <c r="G63" s="170" t="s">
        <v>62</v>
      </c>
      <c r="H63" s="170" t="s">
        <v>241</v>
      </c>
      <c r="I63" s="170" t="s">
        <v>226</v>
      </c>
      <c r="J63" s="525" t="s">
        <v>1191</v>
      </c>
      <c r="K63" s="170" t="s">
        <v>1881</v>
      </c>
      <c r="L63" s="525">
        <v>2023</v>
      </c>
      <c r="M63" s="170" t="s">
        <v>11</v>
      </c>
      <c r="N63" s="170" t="s">
        <v>1879</v>
      </c>
      <c r="O63" s="181"/>
      <c r="P63" s="170"/>
      <c r="Q63" s="176"/>
      <c r="R63" s="184"/>
      <c r="S63" s="170"/>
      <c r="T63" s="170"/>
      <c r="U63" s="170"/>
      <c r="V63" s="170"/>
      <c r="W63" s="170"/>
      <c r="X63" s="170"/>
      <c r="Y63" s="170"/>
      <c r="Z63" s="170"/>
      <c r="AA63" s="170"/>
      <c r="AB63" s="236"/>
      <c r="AC63" s="236"/>
      <c r="AD63" s="236"/>
      <c r="AE63" s="236"/>
      <c r="AF63" s="236"/>
      <c r="AG63" s="236"/>
      <c r="AH63" s="236"/>
      <c r="AI63" s="236"/>
      <c r="AJ63" s="236"/>
      <c r="AK63" s="236"/>
      <c r="AL63" s="236"/>
      <c r="AM63" s="236"/>
      <c r="AN63" s="236"/>
      <c r="AO63" s="236"/>
      <c r="AP63" s="236"/>
      <c r="AQ63" s="236"/>
      <c r="AR63" s="236"/>
      <c r="AS63" s="236"/>
      <c r="AT63" s="236"/>
      <c r="AU63" s="236"/>
    </row>
    <row r="64" spans="1:47" ht="15.75" customHeight="1">
      <c r="A64" s="170" t="s">
        <v>53</v>
      </c>
      <c r="B64" s="171" t="s">
        <v>195</v>
      </c>
      <c r="C64" s="170" t="s">
        <v>222</v>
      </c>
      <c r="D64" s="170" t="s">
        <v>242</v>
      </c>
      <c r="E64" s="178" t="s">
        <v>243</v>
      </c>
      <c r="F64" s="170" t="s">
        <v>1821</v>
      </c>
      <c r="G64" s="170" t="s">
        <v>62</v>
      </c>
      <c r="H64" s="170" t="s">
        <v>244</v>
      </c>
      <c r="I64" s="170" t="s">
        <v>226</v>
      </c>
      <c r="J64" s="525" t="s">
        <v>1191</v>
      </c>
      <c r="K64" s="170" t="s">
        <v>1882</v>
      </c>
      <c r="L64" s="525">
        <v>2023</v>
      </c>
      <c r="M64" s="170" t="s">
        <v>11</v>
      </c>
      <c r="N64" s="170" t="s">
        <v>1879</v>
      </c>
      <c r="O64" s="181"/>
      <c r="P64" s="170"/>
      <c r="Q64" s="176"/>
      <c r="R64" s="184"/>
      <c r="S64" s="170"/>
      <c r="T64" s="170"/>
      <c r="U64" s="170"/>
      <c r="V64" s="170"/>
      <c r="W64" s="170"/>
      <c r="X64" s="170"/>
      <c r="Y64" s="170"/>
      <c r="Z64" s="170"/>
      <c r="AA64" s="170"/>
      <c r="AB64" s="236"/>
      <c r="AC64" s="236"/>
      <c r="AD64" s="236"/>
      <c r="AE64" s="236"/>
      <c r="AF64" s="236"/>
      <c r="AG64" s="236"/>
      <c r="AH64" s="236"/>
      <c r="AI64" s="236"/>
      <c r="AJ64" s="236"/>
      <c r="AK64" s="236"/>
      <c r="AL64" s="236"/>
      <c r="AM64" s="236"/>
      <c r="AN64" s="236"/>
      <c r="AO64" s="236"/>
      <c r="AP64" s="236"/>
      <c r="AQ64" s="236"/>
      <c r="AR64" s="236"/>
      <c r="AS64" s="236"/>
      <c r="AT64" s="236"/>
      <c r="AU64" s="236"/>
    </row>
    <row r="65" spans="1:47" ht="15.75" customHeight="1">
      <c r="A65" s="170" t="s">
        <v>53</v>
      </c>
      <c r="B65" s="171" t="s">
        <v>195</v>
      </c>
      <c r="C65" s="170" t="s">
        <v>222</v>
      </c>
      <c r="D65" s="170" t="s">
        <v>245</v>
      </c>
      <c r="E65" s="178" t="s">
        <v>246</v>
      </c>
      <c r="F65" s="170" t="s">
        <v>1821</v>
      </c>
      <c r="G65" s="170" t="s">
        <v>62</v>
      </c>
      <c r="H65" s="170" t="s">
        <v>247</v>
      </c>
      <c r="I65" s="170" t="s">
        <v>226</v>
      </c>
      <c r="J65" s="525" t="s">
        <v>1191</v>
      </c>
      <c r="K65" s="170" t="s">
        <v>1883</v>
      </c>
      <c r="L65" s="525">
        <v>2023</v>
      </c>
      <c r="M65" s="170" t="s">
        <v>11</v>
      </c>
      <c r="N65" s="170" t="s">
        <v>1879</v>
      </c>
      <c r="O65" s="181"/>
      <c r="P65" s="170"/>
      <c r="Q65" s="176"/>
      <c r="R65" s="184"/>
      <c r="S65" s="170"/>
      <c r="T65" s="170"/>
      <c r="U65" s="170"/>
      <c r="V65" s="170"/>
      <c r="W65" s="170"/>
      <c r="X65" s="170"/>
      <c r="Y65" s="170"/>
      <c r="Z65" s="170"/>
      <c r="AA65" s="170"/>
      <c r="AB65" s="236"/>
      <c r="AC65" s="236"/>
      <c r="AD65" s="236"/>
      <c r="AE65" s="236"/>
      <c r="AF65" s="236"/>
      <c r="AG65" s="236"/>
      <c r="AH65" s="236"/>
      <c r="AI65" s="236"/>
      <c r="AJ65" s="236"/>
      <c r="AK65" s="236"/>
      <c r="AL65" s="236"/>
      <c r="AM65" s="236"/>
      <c r="AN65" s="236"/>
      <c r="AO65" s="236"/>
      <c r="AP65" s="236"/>
      <c r="AQ65" s="236"/>
      <c r="AR65" s="236"/>
      <c r="AS65" s="236"/>
      <c r="AT65" s="236"/>
      <c r="AU65" s="236"/>
    </row>
    <row r="66" spans="1:47" ht="15.75" customHeight="1">
      <c r="A66" s="170" t="s">
        <v>53</v>
      </c>
      <c r="B66" s="171" t="s">
        <v>195</v>
      </c>
      <c r="C66" s="170" t="s">
        <v>222</v>
      </c>
      <c r="D66" s="170" t="s">
        <v>248</v>
      </c>
      <c r="E66" s="178" t="s">
        <v>1884</v>
      </c>
      <c r="F66" s="170" t="s">
        <v>1821</v>
      </c>
      <c r="G66" s="170" t="s">
        <v>62</v>
      </c>
      <c r="H66" s="170" t="s">
        <v>250</v>
      </c>
      <c r="I66" s="170" t="s">
        <v>226</v>
      </c>
      <c r="J66" s="525" t="s">
        <v>8</v>
      </c>
      <c r="K66" s="170"/>
      <c r="L66" s="525">
        <v>2022</v>
      </c>
      <c r="M66" s="170" t="s">
        <v>9</v>
      </c>
      <c r="N66" s="170" t="s">
        <v>1885</v>
      </c>
      <c r="O66" s="181"/>
      <c r="P66" s="170"/>
      <c r="Q66" s="176"/>
      <c r="R66" s="184"/>
      <c r="S66" s="170"/>
      <c r="T66" s="170"/>
      <c r="U66" s="170"/>
      <c r="V66" s="170"/>
      <c r="W66" s="170"/>
      <c r="X66" s="170"/>
      <c r="Y66" s="170"/>
      <c r="Z66" s="170"/>
      <c r="AA66" s="170"/>
      <c r="AB66" s="236"/>
      <c r="AC66" s="236"/>
      <c r="AD66" s="236"/>
      <c r="AE66" s="236"/>
      <c r="AF66" s="236"/>
      <c r="AG66" s="236"/>
      <c r="AH66" s="236"/>
      <c r="AI66" s="236"/>
      <c r="AJ66" s="236"/>
      <c r="AK66" s="236"/>
      <c r="AL66" s="236"/>
      <c r="AM66" s="236"/>
      <c r="AN66" s="236"/>
      <c r="AO66" s="236"/>
      <c r="AP66" s="236"/>
      <c r="AQ66" s="236"/>
      <c r="AR66" s="236"/>
      <c r="AS66" s="236"/>
      <c r="AT66" s="236"/>
      <c r="AU66" s="236"/>
    </row>
    <row r="67" spans="1:47" ht="82.5" customHeight="1">
      <c r="A67" s="170" t="s">
        <v>53</v>
      </c>
      <c r="B67" s="171" t="s">
        <v>195</v>
      </c>
      <c r="C67" s="170" t="s">
        <v>251</v>
      </c>
      <c r="D67" s="170" t="s">
        <v>252</v>
      </c>
      <c r="E67" s="170" t="s">
        <v>253</v>
      </c>
      <c r="F67" s="170" t="s">
        <v>1816</v>
      </c>
      <c r="G67" s="170" t="s">
        <v>62</v>
      </c>
      <c r="H67" s="170" t="s">
        <v>254</v>
      </c>
      <c r="I67" s="170" t="s">
        <v>255</v>
      </c>
      <c r="J67" s="525" t="s">
        <v>1090</v>
      </c>
      <c r="K67" s="170" t="s">
        <v>1886</v>
      </c>
      <c r="L67" s="525"/>
      <c r="M67" s="170"/>
      <c r="N67" s="170"/>
      <c r="O67" s="181"/>
      <c r="P67" s="170" t="s">
        <v>1887</v>
      </c>
      <c r="Q67" s="176"/>
      <c r="R67" s="184"/>
      <c r="S67" s="170"/>
      <c r="T67" s="170"/>
      <c r="U67" s="170"/>
      <c r="V67" s="170"/>
      <c r="W67" s="170"/>
      <c r="X67" s="170"/>
      <c r="Y67" s="170"/>
      <c r="Z67" s="170"/>
      <c r="AA67" s="170"/>
      <c r="AB67" s="236"/>
      <c r="AC67" s="236"/>
      <c r="AD67" s="236"/>
      <c r="AE67" s="236"/>
      <c r="AF67" s="236"/>
      <c r="AG67" s="236"/>
      <c r="AH67" s="236"/>
      <c r="AI67" s="236"/>
      <c r="AJ67" s="236"/>
      <c r="AK67" s="236"/>
      <c r="AL67" s="236"/>
      <c r="AM67" s="236"/>
      <c r="AN67" s="236"/>
      <c r="AO67" s="236"/>
      <c r="AP67" s="236"/>
      <c r="AQ67" s="236"/>
      <c r="AR67" s="236"/>
      <c r="AS67" s="236"/>
      <c r="AT67" s="236"/>
      <c r="AU67" s="236"/>
    </row>
    <row r="68" spans="1:47" ht="15.75" customHeight="1">
      <c r="A68" s="170" t="s">
        <v>53</v>
      </c>
      <c r="B68" s="171" t="s">
        <v>195</v>
      </c>
      <c r="C68" s="170" t="s">
        <v>256</v>
      </c>
      <c r="D68" s="170" t="s">
        <v>257</v>
      </c>
      <c r="E68" s="170" t="s">
        <v>258</v>
      </c>
      <c r="F68" s="170" t="s">
        <v>1821</v>
      </c>
      <c r="G68" s="170" t="s">
        <v>62</v>
      </c>
      <c r="H68" s="170" t="s">
        <v>259</v>
      </c>
      <c r="I68" s="170" t="s">
        <v>260</v>
      </c>
      <c r="J68" s="525" t="s">
        <v>1090</v>
      </c>
      <c r="K68" s="170" t="s">
        <v>1888</v>
      </c>
      <c r="L68" s="525"/>
      <c r="M68" s="170"/>
      <c r="N68" s="170"/>
      <c r="O68" s="181"/>
      <c r="P68" s="170"/>
      <c r="Q68" s="176"/>
      <c r="R68" s="184"/>
      <c r="S68" s="170"/>
      <c r="T68" s="170"/>
      <c r="U68" s="170"/>
      <c r="V68" s="170"/>
      <c r="W68" s="170"/>
      <c r="X68" s="170"/>
      <c r="Y68" s="170"/>
      <c r="Z68" s="170"/>
      <c r="AA68" s="170"/>
      <c r="AB68" s="236"/>
      <c r="AC68" s="236"/>
      <c r="AD68" s="236"/>
      <c r="AE68" s="236"/>
      <c r="AF68" s="236"/>
      <c r="AG68" s="236"/>
      <c r="AH68" s="236"/>
      <c r="AI68" s="236"/>
      <c r="AJ68" s="236"/>
      <c r="AK68" s="236"/>
      <c r="AL68" s="236"/>
      <c r="AM68" s="236"/>
      <c r="AN68" s="236"/>
      <c r="AO68" s="236"/>
      <c r="AP68" s="236"/>
      <c r="AQ68" s="236"/>
      <c r="AR68" s="236"/>
      <c r="AS68" s="236"/>
      <c r="AT68" s="236"/>
      <c r="AU68" s="236"/>
    </row>
    <row r="69" spans="1:47" ht="15.75" customHeight="1">
      <c r="A69" s="170" t="s">
        <v>53</v>
      </c>
      <c r="B69" s="171" t="s">
        <v>195</v>
      </c>
      <c r="C69" s="170" t="s">
        <v>256</v>
      </c>
      <c r="D69" s="170" t="s">
        <v>261</v>
      </c>
      <c r="E69" s="170" t="s">
        <v>262</v>
      </c>
      <c r="F69" s="170" t="s">
        <v>1824</v>
      </c>
      <c r="G69" s="170" t="s">
        <v>62</v>
      </c>
      <c r="H69" s="170" t="s">
        <v>263</v>
      </c>
      <c r="I69" s="170" t="s">
        <v>260</v>
      </c>
      <c r="J69" s="525" t="s">
        <v>1090</v>
      </c>
      <c r="K69" s="170" t="s">
        <v>1889</v>
      </c>
      <c r="L69" s="525"/>
      <c r="M69" s="170"/>
      <c r="N69" s="170"/>
      <c r="O69" s="181"/>
      <c r="P69" s="170"/>
      <c r="Q69" s="176"/>
      <c r="R69" s="184"/>
      <c r="S69" s="170"/>
      <c r="T69" s="170"/>
      <c r="U69" s="170"/>
      <c r="V69" s="170"/>
      <c r="W69" s="170"/>
      <c r="X69" s="170"/>
      <c r="Y69" s="170"/>
      <c r="Z69" s="170"/>
      <c r="AA69" s="170"/>
      <c r="AB69" s="236"/>
      <c r="AC69" s="236"/>
      <c r="AD69" s="236"/>
      <c r="AE69" s="236"/>
      <c r="AF69" s="236"/>
      <c r="AG69" s="236"/>
      <c r="AH69" s="236"/>
      <c r="AI69" s="236"/>
      <c r="AJ69" s="236"/>
      <c r="AK69" s="236"/>
      <c r="AL69" s="236"/>
      <c r="AM69" s="236"/>
      <c r="AN69" s="236"/>
      <c r="AO69" s="236"/>
      <c r="AP69" s="236"/>
      <c r="AQ69" s="236"/>
      <c r="AR69" s="236"/>
      <c r="AS69" s="236"/>
      <c r="AT69" s="236"/>
      <c r="AU69" s="236"/>
    </row>
    <row r="70" spans="1:47" ht="202.5" customHeight="1">
      <c r="A70" s="170" t="s">
        <v>53</v>
      </c>
      <c r="B70" s="171" t="s">
        <v>195</v>
      </c>
      <c r="C70" s="170" t="s">
        <v>256</v>
      </c>
      <c r="D70" s="170" t="s">
        <v>264</v>
      </c>
      <c r="E70" s="170" t="s">
        <v>265</v>
      </c>
      <c r="F70" s="170" t="s">
        <v>1821</v>
      </c>
      <c r="G70" s="170" t="s">
        <v>62</v>
      </c>
      <c r="H70" s="170" t="s">
        <v>266</v>
      </c>
      <c r="I70" s="170" t="s">
        <v>260</v>
      </c>
      <c r="J70" s="525" t="s">
        <v>1191</v>
      </c>
      <c r="K70" s="170" t="s">
        <v>1890</v>
      </c>
      <c r="L70" s="525" t="s">
        <v>3966</v>
      </c>
      <c r="M70" s="170"/>
      <c r="N70" s="170"/>
      <c r="O70" s="181"/>
      <c r="P70" s="170" t="s">
        <v>1891</v>
      </c>
      <c r="Q70" s="176"/>
      <c r="R70" s="184"/>
      <c r="S70" s="170"/>
      <c r="T70" s="170"/>
      <c r="U70" s="170"/>
      <c r="V70" s="170"/>
      <c r="W70" s="170"/>
      <c r="X70" s="170"/>
      <c r="Y70" s="170"/>
      <c r="Z70" s="170"/>
      <c r="AA70" s="170"/>
      <c r="AB70" s="236"/>
      <c r="AC70" s="236"/>
      <c r="AD70" s="236"/>
      <c r="AE70" s="236"/>
      <c r="AF70" s="236"/>
      <c r="AG70" s="236"/>
      <c r="AH70" s="236"/>
      <c r="AI70" s="236"/>
      <c r="AJ70" s="236"/>
      <c r="AK70" s="236"/>
      <c r="AL70" s="236"/>
      <c r="AM70" s="236"/>
      <c r="AN70" s="236"/>
      <c r="AO70" s="236"/>
      <c r="AP70" s="236"/>
      <c r="AQ70" s="236"/>
      <c r="AR70" s="236"/>
      <c r="AS70" s="236"/>
      <c r="AT70" s="236"/>
      <c r="AU70" s="236"/>
    </row>
    <row r="71" spans="1:47" ht="15.75" customHeight="1">
      <c r="A71" s="170" t="s">
        <v>53</v>
      </c>
      <c r="B71" s="171" t="s">
        <v>195</v>
      </c>
      <c r="C71" s="170" t="s">
        <v>256</v>
      </c>
      <c r="D71" s="170" t="s">
        <v>267</v>
      </c>
      <c r="E71" s="170" t="s">
        <v>268</v>
      </c>
      <c r="F71" s="170" t="s">
        <v>1821</v>
      </c>
      <c r="G71" s="170" t="s">
        <v>62</v>
      </c>
      <c r="H71" s="170" t="s">
        <v>269</v>
      </c>
      <c r="I71" s="170" t="s">
        <v>270</v>
      </c>
      <c r="J71" s="525" t="s">
        <v>8</v>
      </c>
      <c r="K71" s="170" t="s">
        <v>1892</v>
      </c>
      <c r="L71" s="525">
        <v>2023</v>
      </c>
      <c r="M71" s="170" t="s">
        <v>9</v>
      </c>
      <c r="N71" s="170" t="s">
        <v>1873</v>
      </c>
      <c r="O71" s="181"/>
      <c r="P71" s="170"/>
      <c r="Q71" s="176"/>
      <c r="R71" s="184"/>
      <c r="S71" s="170"/>
      <c r="T71" s="170"/>
      <c r="U71" s="170"/>
      <c r="V71" s="170"/>
      <c r="W71" s="170"/>
      <c r="X71" s="170"/>
      <c r="Y71" s="170"/>
      <c r="Z71" s="170"/>
      <c r="AA71" s="170"/>
      <c r="AB71" s="236"/>
      <c r="AC71" s="236"/>
      <c r="AD71" s="236"/>
      <c r="AE71" s="236"/>
      <c r="AF71" s="236"/>
      <c r="AG71" s="236"/>
      <c r="AH71" s="236"/>
      <c r="AI71" s="236"/>
      <c r="AJ71" s="236"/>
      <c r="AK71" s="236"/>
      <c r="AL71" s="236"/>
      <c r="AM71" s="236"/>
      <c r="AN71" s="236"/>
      <c r="AO71" s="236"/>
      <c r="AP71" s="236"/>
      <c r="AQ71" s="236"/>
      <c r="AR71" s="236"/>
      <c r="AS71" s="236"/>
      <c r="AT71" s="236"/>
      <c r="AU71" s="236"/>
    </row>
    <row r="72" spans="1:47" ht="15.75" hidden="1" customHeight="1">
      <c r="A72" s="170" t="s">
        <v>53</v>
      </c>
      <c r="B72" s="171" t="s">
        <v>195</v>
      </c>
      <c r="C72" s="170" t="s">
        <v>256</v>
      </c>
      <c r="D72" s="170" t="s">
        <v>271</v>
      </c>
      <c r="E72" s="170" t="s">
        <v>272</v>
      </c>
      <c r="F72" s="170"/>
      <c r="G72" s="170" t="s">
        <v>71</v>
      </c>
      <c r="H72" s="170" t="s">
        <v>273</v>
      </c>
      <c r="I72" s="170" t="s">
        <v>135</v>
      </c>
      <c r="J72" s="170"/>
      <c r="K72" s="170"/>
      <c r="L72" s="180"/>
      <c r="M72" s="170"/>
      <c r="N72" s="170"/>
      <c r="O72" s="181"/>
      <c r="P72" s="170"/>
      <c r="Q72" s="176"/>
      <c r="R72" s="184"/>
      <c r="S72" s="170"/>
      <c r="T72" s="170"/>
      <c r="U72" s="170"/>
      <c r="V72" s="170"/>
      <c r="W72" s="170"/>
      <c r="X72" s="170"/>
      <c r="Y72" s="170"/>
      <c r="Z72" s="170"/>
      <c r="AA72" s="170"/>
      <c r="AB72" s="162"/>
      <c r="AC72" s="162"/>
      <c r="AD72" s="162"/>
      <c r="AE72" s="162"/>
      <c r="AF72" s="162"/>
      <c r="AG72" s="162"/>
      <c r="AH72" s="162"/>
      <c r="AI72" s="162"/>
      <c r="AJ72" s="162"/>
      <c r="AK72" s="162"/>
      <c r="AL72" s="162"/>
      <c r="AM72" s="162"/>
      <c r="AN72" s="162"/>
      <c r="AO72" s="162"/>
      <c r="AP72" s="162"/>
      <c r="AQ72" s="162"/>
      <c r="AR72" s="162"/>
      <c r="AS72" s="162"/>
      <c r="AT72" s="162"/>
      <c r="AU72" s="162"/>
    </row>
    <row r="73" spans="1:47" ht="15.75" customHeight="1">
      <c r="A73" s="170" t="s">
        <v>53</v>
      </c>
      <c r="B73" s="171" t="s">
        <v>274</v>
      </c>
      <c r="C73" s="170" t="s">
        <v>275</v>
      </c>
      <c r="D73" s="170" t="s">
        <v>276</v>
      </c>
      <c r="E73" s="170" t="s">
        <v>277</v>
      </c>
      <c r="F73" s="172"/>
      <c r="G73" s="172" t="s">
        <v>62</v>
      </c>
      <c r="H73" s="172"/>
      <c r="I73" s="172"/>
      <c r="J73" s="524">
        <v>1</v>
      </c>
      <c r="K73" s="172"/>
      <c r="L73" s="524"/>
      <c r="M73" s="172"/>
      <c r="N73" s="172"/>
      <c r="O73" s="175"/>
      <c r="P73" s="172"/>
      <c r="Q73" s="176"/>
      <c r="R73" s="177"/>
      <c r="S73" s="172"/>
      <c r="T73" s="172"/>
      <c r="U73" s="172"/>
      <c r="V73" s="172"/>
      <c r="W73" s="172"/>
      <c r="X73" s="172"/>
      <c r="Y73" s="172"/>
      <c r="Z73" s="172"/>
      <c r="AA73" s="172"/>
      <c r="AB73" s="236"/>
      <c r="AC73" s="236"/>
      <c r="AD73" s="236"/>
      <c r="AE73" s="236"/>
      <c r="AF73" s="236"/>
      <c r="AG73" s="236"/>
      <c r="AH73" s="236"/>
      <c r="AI73" s="236"/>
      <c r="AJ73" s="236"/>
      <c r="AK73" s="236"/>
      <c r="AL73" s="236"/>
      <c r="AM73" s="236"/>
      <c r="AN73" s="236"/>
      <c r="AO73" s="236"/>
      <c r="AP73" s="236"/>
      <c r="AQ73" s="236"/>
      <c r="AR73" s="236"/>
      <c r="AS73" s="236"/>
      <c r="AT73" s="236"/>
      <c r="AU73" s="236"/>
    </row>
    <row r="74" spans="1:47" ht="123" customHeight="1">
      <c r="A74" s="170"/>
      <c r="B74" s="171" t="s">
        <v>274</v>
      </c>
      <c r="C74" s="170" t="s">
        <v>275</v>
      </c>
      <c r="D74" s="170" t="s">
        <v>278</v>
      </c>
      <c r="E74" s="178" t="s">
        <v>279</v>
      </c>
      <c r="F74" s="170" t="s">
        <v>1816</v>
      </c>
      <c r="G74" s="170" t="s">
        <v>62</v>
      </c>
      <c r="H74" s="170" t="s">
        <v>280</v>
      </c>
      <c r="I74" s="179">
        <v>1</v>
      </c>
      <c r="J74" s="170" t="s">
        <v>1191</v>
      </c>
      <c r="K74" s="170" t="s">
        <v>1893</v>
      </c>
      <c r="L74" s="525">
        <v>2023</v>
      </c>
      <c r="M74" s="170" t="s">
        <v>10</v>
      </c>
      <c r="N74" s="170" t="s">
        <v>1894</v>
      </c>
      <c r="O74" s="181"/>
      <c r="P74" s="170"/>
      <c r="Q74" s="176"/>
      <c r="R74" s="184"/>
      <c r="S74" s="170"/>
      <c r="T74" s="170"/>
      <c r="U74" s="170"/>
      <c r="V74" s="170"/>
      <c r="W74" s="170"/>
      <c r="X74" s="170"/>
      <c r="Y74" s="170"/>
      <c r="Z74" s="170"/>
      <c r="AA74" s="170"/>
      <c r="AB74" s="162"/>
      <c r="AC74" s="162"/>
      <c r="AD74" s="162"/>
      <c r="AE74" s="162"/>
      <c r="AF74" s="162"/>
      <c r="AG74" s="162"/>
      <c r="AH74" s="162"/>
      <c r="AI74" s="162"/>
      <c r="AJ74" s="162"/>
      <c r="AK74" s="162"/>
      <c r="AL74" s="162"/>
      <c r="AM74" s="162"/>
      <c r="AN74" s="162"/>
      <c r="AO74" s="162"/>
      <c r="AP74" s="162"/>
      <c r="AQ74" s="162"/>
      <c r="AR74" s="162"/>
      <c r="AS74" s="162"/>
      <c r="AT74" s="162"/>
      <c r="AU74" s="162"/>
    </row>
    <row r="75" spans="1:47" ht="15.75" customHeight="1">
      <c r="A75" s="170" t="s">
        <v>53</v>
      </c>
      <c r="B75" s="171" t="s">
        <v>274</v>
      </c>
      <c r="C75" s="170" t="s">
        <v>275</v>
      </c>
      <c r="D75" s="170" t="s">
        <v>281</v>
      </c>
      <c r="E75" s="178" t="s">
        <v>279</v>
      </c>
      <c r="F75" s="170" t="s">
        <v>1816</v>
      </c>
      <c r="G75" s="170" t="s">
        <v>62</v>
      </c>
      <c r="H75" s="170" t="s">
        <v>282</v>
      </c>
      <c r="I75" s="179">
        <v>1</v>
      </c>
      <c r="J75" s="525" t="s">
        <v>1191</v>
      </c>
      <c r="K75" s="170" t="s">
        <v>1895</v>
      </c>
      <c r="L75" s="525">
        <v>2023</v>
      </c>
      <c r="M75" s="170" t="s">
        <v>12</v>
      </c>
      <c r="N75" s="170" t="s">
        <v>1896</v>
      </c>
      <c r="O75" s="181"/>
      <c r="P75" s="170"/>
      <c r="Q75" s="182"/>
      <c r="R75" s="183"/>
      <c r="S75" s="179"/>
      <c r="T75" s="179"/>
      <c r="U75" s="179"/>
      <c r="V75" s="179"/>
      <c r="W75" s="179"/>
      <c r="X75" s="179"/>
      <c r="Y75" s="179"/>
      <c r="Z75" s="179"/>
      <c r="AA75" s="170"/>
      <c r="AB75" s="236"/>
      <c r="AC75" s="236"/>
      <c r="AD75" s="236"/>
      <c r="AE75" s="236"/>
      <c r="AF75" s="236"/>
      <c r="AG75" s="236"/>
      <c r="AH75" s="236"/>
      <c r="AI75" s="236"/>
      <c r="AJ75" s="236"/>
      <c r="AK75" s="236"/>
      <c r="AL75" s="236"/>
      <c r="AM75" s="236"/>
      <c r="AN75" s="236"/>
      <c r="AO75" s="236"/>
      <c r="AP75" s="236"/>
      <c r="AQ75" s="236"/>
      <c r="AR75" s="236"/>
      <c r="AS75" s="236"/>
      <c r="AT75" s="236"/>
      <c r="AU75" s="236"/>
    </row>
    <row r="76" spans="1:47" ht="127.5" customHeight="1">
      <c r="A76" s="170" t="s">
        <v>53</v>
      </c>
      <c r="B76" s="171" t="s">
        <v>274</v>
      </c>
      <c r="C76" s="170" t="s">
        <v>275</v>
      </c>
      <c r="D76" s="170" t="s">
        <v>283</v>
      </c>
      <c r="E76" s="178" t="s">
        <v>284</v>
      </c>
      <c r="F76" s="170" t="s">
        <v>1816</v>
      </c>
      <c r="G76" s="170" t="s">
        <v>62</v>
      </c>
      <c r="H76" s="170" t="s">
        <v>285</v>
      </c>
      <c r="I76" s="179">
        <v>1</v>
      </c>
      <c r="J76" s="525" t="s">
        <v>8</v>
      </c>
      <c r="K76" s="170" t="s">
        <v>1893</v>
      </c>
      <c r="L76" s="525">
        <v>2022</v>
      </c>
      <c r="M76" s="170" t="s">
        <v>10</v>
      </c>
      <c r="N76" s="170" t="s">
        <v>1894</v>
      </c>
      <c r="O76" s="181"/>
      <c r="P76" s="170" t="s">
        <v>1897</v>
      </c>
      <c r="Q76" s="176"/>
      <c r="R76" s="184"/>
      <c r="S76" s="170"/>
      <c r="T76" s="170"/>
      <c r="U76" s="170"/>
      <c r="V76" s="170"/>
      <c r="W76" s="170"/>
      <c r="X76" s="170"/>
      <c r="Y76" s="170"/>
      <c r="Z76" s="170"/>
      <c r="AA76" s="170"/>
      <c r="AB76" s="236"/>
      <c r="AC76" s="236"/>
      <c r="AD76" s="236"/>
      <c r="AE76" s="236"/>
      <c r="AF76" s="236"/>
      <c r="AG76" s="236"/>
      <c r="AH76" s="236"/>
      <c r="AI76" s="236"/>
      <c r="AJ76" s="236"/>
      <c r="AK76" s="236"/>
      <c r="AL76" s="236"/>
      <c r="AM76" s="236"/>
      <c r="AN76" s="236"/>
      <c r="AO76" s="236"/>
      <c r="AP76" s="236"/>
      <c r="AQ76" s="236"/>
      <c r="AR76" s="236"/>
      <c r="AS76" s="236"/>
      <c r="AT76" s="236"/>
      <c r="AU76" s="236"/>
    </row>
    <row r="77" spans="1:47" ht="15.75" customHeight="1">
      <c r="A77" s="170"/>
      <c r="B77" s="171" t="s">
        <v>274</v>
      </c>
      <c r="C77" s="170" t="s">
        <v>275</v>
      </c>
      <c r="D77" s="170" t="s">
        <v>286</v>
      </c>
      <c r="E77" s="178" t="s">
        <v>284</v>
      </c>
      <c r="F77" s="170" t="s">
        <v>1816</v>
      </c>
      <c r="G77" s="170" t="s">
        <v>62</v>
      </c>
      <c r="H77" s="170" t="s">
        <v>287</v>
      </c>
      <c r="I77" s="179">
        <v>1</v>
      </c>
      <c r="J77" s="170" t="s">
        <v>8</v>
      </c>
      <c r="K77" s="170" t="s">
        <v>1898</v>
      </c>
      <c r="L77" s="525">
        <v>2023</v>
      </c>
      <c r="M77" s="170" t="s">
        <v>12</v>
      </c>
      <c r="N77" s="170" t="s">
        <v>1899</v>
      </c>
      <c r="O77" s="181"/>
      <c r="P77" s="170"/>
      <c r="Q77" s="176"/>
      <c r="R77" s="184"/>
      <c r="S77" s="170"/>
      <c r="T77" s="170"/>
      <c r="U77" s="170"/>
      <c r="V77" s="170"/>
      <c r="W77" s="170"/>
      <c r="X77" s="170"/>
      <c r="Y77" s="170"/>
      <c r="Z77" s="170"/>
      <c r="AA77" s="170"/>
      <c r="AB77" s="162"/>
      <c r="AC77" s="162"/>
      <c r="AD77" s="162"/>
      <c r="AE77" s="162"/>
      <c r="AF77" s="162"/>
      <c r="AG77" s="162"/>
      <c r="AH77" s="162"/>
      <c r="AI77" s="162"/>
      <c r="AJ77" s="162"/>
      <c r="AK77" s="162"/>
      <c r="AL77" s="162"/>
      <c r="AM77" s="162"/>
      <c r="AN77" s="162"/>
      <c r="AO77" s="162"/>
      <c r="AP77" s="162"/>
      <c r="AQ77" s="162"/>
      <c r="AR77" s="162"/>
      <c r="AS77" s="162"/>
      <c r="AT77" s="162"/>
      <c r="AU77" s="162"/>
    </row>
    <row r="78" spans="1:47" ht="15.75" customHeight="1">
      <c r="A78" s="170" t="s">
        <v>53</v>
      </c>
      <c r="B78" s="171" t="s">
        <v>274</v>
      </c>
      <c r="C78" s="170" t="s">
        <v>275</v>
      </c>
      <c r="D78" s="170" t="s">
        <v>288</v>
      </c>
      <c r="E78" s="178" t="s">
        <v>289</v>
      </c>
      <c r="F78" s="170" t="s">
        <v>1816</v>
      </c>
      <c r="G78" s="170" t="s">
        <v>62</v>
      </c>
      <c r="H78" s="170" t="s">
        <v>1900</v>
      </c>
      <c r="I78" s="179">
        <v>1</v>
      </c>
      <c r="J78" s="525" t="s">
        <v>8</v>
      </c>
      <c r="K78" s="170" t="s">
        <v>1901</v>
      </c>
      <c r="L78" s="525">
        <v>2022</v>
      </c>
      <c r="M78" s="170" t="s">
        <v>10</v>
      </c>
      <c r="N78" s="170" t="s">
        <v>1894</v>
      </c>
      <c r="O78" s="181"/>
      <c r="P78" s="170" t="s">
        <v>1902</v>
      </c>
      <c r="Q78" s="176"/>
      <c r="R78" s="184"/>
      <c r="S78" s="170"/>
      <c r="T78" s="170"/>
      <c r="U78" s="170"/>
      <c r="V78" s="170"/>
      <c r="W78" s="170"/>
      <c r="X78" s="170"/>
      <c r="Y78" s="170"/>
      <c r="Z78" s="170"/>
      <c r="AA78" s="170"/>
      <c r="AB78" s="236"/>
      <c r="AC78" s="236"/>
      <c r="AD78" s="236"/>
      <c r="AE78" s="236"/>
      <c r="AF78" s="236"/>
      <c r="AG78" s="236"/>
      <c r="AH78" s="236"/>
      <c r="AI78" s="236"/>
      <c r="AJ78" s="236"/>
      <c r="AK78" s="236"/>
      <c r="AL78" s="236"/>
      <c r="AM78" s="236"/>
      <c r="AN78" s="236"/>
      <c r="AO78" s="236"/>
      <c r="AP78" s="236"/>
      <c r="AQ78" s="236"/>
      <c r="AR78" s="236"/>
      <c r="AS78" s="236"/>
      <c r="AT78" s="236"/>
      <c r="AU78" s="236"/>
    </row>
    <row r="79" spans="1:47" ht="15.75" customHeight="1">
      <c r="A79" s="170" t="s">
        <v>53</v>
      </c>
      <c r="B79" s="171" t="s">
        <v>274</v>
      </c>
      <c r="C79" s="170" t="s">
        <v>275</v>
      </c>
      <c r="D79" s="170" t="s">
        <v>291</v>
      </c>
      <c r="E79" s="178" t="s">
        <v>289</v>
      </c>
      <c r="F79" s="170" t="s">
        <v>1816</v>
      </c>
      <c r="G79" s="170" t="s">
        <v>62</v>
      </c>
      <c r="H79" s="170" t="s">
        <v>1903</v>
      </c>
      <c r="I79" s="179">
        <v>1</v>
      </c>
      <c r="J79" s="525" t="s">
        <v>8</v>
      </c>
      <c r="K79" s="170" t="s">
        <v>1898</v>
      </c>
      <c r="L79" s="525">
        <v>2023</v>
      </c>
      <c r="M79" s="170" t="s">
        <v>12</v>
      </c>
      <c r="N79" s="170" t="s">
        <v>1899</v>
      </c>
      <c r="O79" s="181"/>
      <c r="P79" s="170"/>
      <c r="Q79" s="176"/>
      <c r="R79" s="184"/>
      <c r="S79" s="170"/>
      <c r="T79" s="170"/>
      <c r="U79" s="170"/>
      <c r="V79" s="170"/>
      <c r="W79" s="170"/>
      <c r="X79" s="170"/>
      <c r="Y79" s="170"/>
      <c r="Z79" s="170"/>
      <c r="AA79" s="170"/>
      <c r="AB79" s="236"/>
      <c r="AC79" s="236"/>
      <c r="AD79" s="236"/>
      <c r="AE79" s="236"/>
      <c r="AF79" s="236"/>
      <c r="AG79" s="236"/>
      <c r="AH79" s="236"/>
      <c r="AI79" s="236"/>
      <c r="AJ79" s="236"/>
      <c r="AK79" s="236"/>
      <c r="AL79" s="236"/>
      <c r="AM79" s="236"/>
      <c r="AN79" s="236"/>
      <c r="AO79" s="236"/>
      <c r="AP79" s="236"/>
      <c r="AQ79" s="236"/>
      <c r="AR79" s="236"/>
      <c r="AS79" s="236"/>
      <c r="AT79" s="236"/>
      <c r="AU79" s="236"/>
    </row>
    <row r="80" spans="1:47" ht="15.75" hidden="1" customHeight="1">
      <c r="A80" s="170" t="s">
        <v>53</v>
      </c>
      <c r="B80" s="171" t="s">
        <v>274</v>
      </c>
      <c r="C80" s="170" t="s">
        <v>293</v>
      </c>
      <c r="D80" s="170" t="s">
        <v>294</v>
      </c>
      <c r="E80" s="170" t="s">
        <v>295</v>
      </c>
      <c r="F80" s="170"/>
      <c r="G80" s="170" t="s">
        <v>71</v>
      </c>
      <c r="H80" s="170" t="s">
        <v>296</v>
      </c>
      <c r="I80" s="170" t="s">
        <v>297</v>
      </c>
      <c r="J80" s="170"/>
      <c r="K80" s="170"/>
      <c r="L80" s="180"/>
      <c r="M80" s="170"/>
      <c r="N80" s="170"/>
      <c r="O80" s="181"/>
      <c r="P80" s="170"/>
      <c r="Q80" s="176"/>
      <c r="R80" s="184"/>
      <c r="S80" s="170"/>
      <c r="T80" s="170"/>
      <c r="U80" s="170"/>
      <c r="V80" s="170"/>
      <c r="W80" s="170"/>
      <c r="X80" s="170"/>
      <c r="Y80" s="170"/>
      <c r="Z80" s="170"/>
      <c r="AA80" s="170"/>
      <c r="AB80" s="162"/>
      <c r="AC80" s="162"/>
      <c r="AD80" s="162"/>
      <c r="AE80" s="162"/>
      <c r="AF80" s="162"/>
      <c r="AG80" s="162"/>
      <c r="AH80" s="162"/>
      <c r="AI80" s="162"/>
      <c r="AJ80" s="162"/>
      <c r="AK80" s="162"/>
      <c r="AL80" s="162"/>
      <c r="AM80" s="162"/>
      <c r="AN80" s="162"/>
      <c r="AO80" s="162"/>
      <c r="AP80" s="162"/>
      <c r="AQ80" s="162"/>
      <c r="AR80" s="162"/>
      <c r="AS80" s="162"/>
      <c r="AT80" s="162"/>
      <c r="AU80" s="162"/>
    </row>
    <row r="81" spans="1:47" ht="15.75" customHeight="1">
      <c r="A81" s="170" t="s">
        <v>53</v>
      </c>
      <c r="B81" s="171" t="s">
        <v>274</v>
      </c>
      <c r="C81" s="170" t="s">
        <v>298</v>
      </c>
      <c r="D81" s="170" t="s">
        <v>299</v>
      </c>
      <c r="E81" s="170" t="s">
        <v>300</v>
      </c>
      <c r="F81" s="172"/>
      <c r="G81" s="172" t="s">
        <v>62</v>
      </c>
      <c r="H81" s="172"/>
      <c r="I81" s="172"/>
      <c r="J81" s="524">
        <v>1</v>
      </c>
      <c r="K81" s="172"/>
      <c r="L81" s="524"/>
      <c r="M81" s="172"/>
      <c r="N81" s="172"/>
      <c r="O81" s="175"/>
      <c r="P81" s="172"/>
      <c r="Q81" s="176"/>
      <c r="R81" s="177"/>
      <c r="S81" s="172"/>
      <c r="T81" s="172"/>
      <c r="U81" s="172"/>
      <c r="V81" s="172"/>
      <c r="W81" s="172"/>
      <c r="X81" s="172"/>
      <c r="Y81" s="172"/>
      <c r="Z81" s="172"/>
      <c r="AA81" s="172"/>
      <c r="AB81" s="236"/>
      <c r="AC81" s="236"/>
      <c r="AD81" s="236"/>
      <c r="AE81" s="236"/>
      <c r="AF81" s="236"/>
      <c r="AG81" s="236"/>
      <c r="AH81" s="236"/>
      <c r="AI81" s="236"/>
      <c r="AJ81" s="236"/>
      <c r="AK81" s="236"/>
      <c r="AL81" s="236"/>
      <c r="AM81" s="236"/>
      <c r="AN81" s="236"/>
      <c r="AO81" s="236"/>
      <c r="AP81" s="236"/>
      <c r="AQ81" s="236"/>
      <c r="AR81" s="236"/>
      <c r="AS81" s="236"/>
      <c r="AT81" s="236"/>
      <c r="AU81" s="236"/>
    </row>
    <row r="82" spans="1:47" ht="15.75" customHeight="1">
      <c r="A82" s="170" t="s">
        <v>53</v>
      </c>
      <c r="B82" s="171" t="s">
        <v>274</v>
      </c>
      <c r="C82" s="170" t="s">
        <v>298</v>
      </c>
      <c r="D82" s="170" t="s">
        <v>301</v>
      </c>
      <c r="E82" s="178" t="s">
        <v>302</v>
      </c>
      <c r="F82" s="170" t="s">
        <v>1821</v>
      </c>
      <c r="G82" s="170" t="s">
        <v>62</v>
      </c>
      <c r="H82" s="170" t="s">
        <v>303</v>
      </c>
      <c r="I82" s="170" t="s">
        <v>210</v>
      </c>
      <c r="J82" s="525" t="s">
        <v>8</v>
      </c>
      <c r="K82" s="170" t="s">
        <v>1904</v>
      </c>
      <c r="L82" s="526" t="s">
        <v>1905</v>
      </c>
      <c r="M82" s="170" t="s">
        <v>10</v>
      </c>
      <c r="N82" s="170"/>
      <c r="O82" s="181"/>
      <c r="P82" s="188" t="s">
        <v>1906</v>
      </c>
      <c r="Q82" s="176"/>
      <c r="R82" s="184"/>
      <c r="S82" s="170"/>
      <c r="T82" s="170"/>
      <c r="U82" s="170"/>
      <c r="V82" s="170"/>
      <c r="W82" s="170"/>
      <c r="X82" s="170"/>
      <c r="Y82" s="170"/>
      <c r="Z82" s="170"/>
      <c r="AA82" s="170"/>
      <c r="AB82" s="236"/>
      <c r="AC82" s="236"/>
      <c r="AD82" s="236"/>
      <c r="AE82" s="236"/>
      <c r="AF82" s="236"/>
      <c r="AG82" s="236"/>
      <c r="AH82" s="236"/>
      <c r="AI82" s="236"/>
      <c r="AJ82" s="236"/>
      <c r="AK82" s="236"/>
      <c r="AL82" s="236"/>
      <c r="AM82" s="236"/>
      <c r="AN82" s="236"/>
      <c r="AO82" s="236"/>
      <c r="AP82" s="236"/>
      <c r="AQ82" s="236"/>
      <c r="AR82" s="236"/>
      <c r="AS82" s="236"/>
      <c r="AT82" s="236"/>
      <c r="AU82" s="236"/>
    </row>
    <row r="83" spans="1:47" ht="15.75" customHeight="1">
      <c r="A83" s="170" t="s">
        <v>53</v>
      </c>
      <c r="B83" s="171" t="s">
        <v>274</v>
      </c>
      <c r="C83" s="170" t="s">
        <v>298</v>
      </c>
      <c r="D83" s="170" t="s">
        <v>304</v>
      </c>
      <c r="E83" s="178" t="s">
        <v>305</v>
      </c>
      <c r="F83" s="170" t="s">
        <v>1824</v>
      </c>
      <c r="G83" s="170" t="s">
        <v>62</v>
      </c>
      <c r="H83" s="170" t="s">
        <v>306</v>
      </c>
      <c r="I83" s="170" t="s">
        <v>210</v>
      </c>
      <c r="J83" s="525" t="s">
        <v>1191</v>
      </c>
      <c r="K83" s="170" t="s">
        <v>1907</v>
      </c>
      <c r="L83" s="529"/>
      <c r="M83" s="170" t="s">
        <v>12</v>
      </c>
      <c r="N83" s="170" t="s">
        <v>1908</v>
      </c>
      <c r="O83" s="181"/>
      <c r="P83" s="202"/>
      <c r="Q83" s="176"/>
      <c r="R83" s="184"/>
      <c r="S83" s="170"/>
      <c r="T83" s="170"/>
      <c r="U83" s="170"/>
      <c r="V83" s="170"/>
      <c r="W83" s="170"/>
      <c r="X83" s="170"/>
      <c r="Y83" s="170"/>
      <c r="Z83" s="170"/>
      <c r="AA83" s="170"/>
      <c r="AB83" s="236"/>
      <c r="AC83" s="236"/>
      <c r="AD83" s="236"/>
      <c r="AE83" s="236"/>
      <c r="AF83" s="236"/>
      <c r="AG83" s="236"/>
      <c r="AH83" s="236"/>
      <c r="AI83" s="236"/>
      <c r="AJ83" s="236"/>
      <c r="AK83" s="236"/>
      <c r="AL83" s="236"/>
      <c r="AM83" s="236"/>
      <c r="AN83" s="236"/>
      <c r="AO83" s="236"/>
      <c r="AP83" s="236"/>
      <c r="AQ83" s="236"/>
      <c r="AR83" s="236"/>
      <c r="AS83" s="236"/>
      <c r="AT83" s="236"/>
      <c r="AU83" s="236"/>
    </row>
    <row r="84" spans="1:47" ht="15.75" customHeight="1">
      <c r="A84" s="170" t="s">
        <v>53</v>
      </c>
      <c r="B84" s="171" t="s">
        <v>274</v>
      </c>
      <c r="C84" s="170" t="s">
        <v>298</v>
      </c>
      <c r="D84" s="170" t="s">
        <v>307</v>
      </c>
      <c r="E84" s="178" t="s">
        <v>308</v>
      </c>
      <c r="F84" s="170" t="s">
        <v>1824</v>
      </c>
      <c r="G84" s="170" t="s">
        <v>62</v>
      </c>
      <c r="H84" s="170" t="s">
        <v>309</v>
      </c>
      <c r="I84" s="170" t="s">
        <v>210</v>
      </c>
      <c r="J84" s="525" t="s">
        <v>8</v>
      </c>
      <c r="K84" s="170" t="s">
        <v>1909</v>
      </c>
      <c r="L84" s="525">
        <v>2022</v>
      </c>
      <c r="M84" s="170" t="s">
        <v>10</v>
      </c>
      <c r="N84" s="170" t="s">
        <v>1910</v>
      </c>
      <c r="O84" s="181"/>
      <c r="P84" s="191"/>
      <c r="Q84" s="176"/>
      <c r="R84" s="184"/>
      <c r="S84" s="170"/>
      <c r="T84" s="170"/>
      <c r="U84" s="170"/>
      <c r="V84" s="170"/>
      <c r="W84" s="170"/>
      <c r="X84" s="170"/>
      <c r="Y84" s="170"/>
      <c r="Z84" s="170"/>
      <c r="AA84" s="170"/>
      <c r="AB84" s="236"/>
      <c r="AC84" s="236"/>
      <c r="AD84" s="236"/>
      <c r="AE84" s="236"/>
      <c r="AF84" s="236"/>
      <c r="AG84" s="236"/>
      <c r="AH84" s="236"/>
      <c r="AI84" s="236"/>
      <c r="AJ84" s="236"/>
      <c r="AK84" s="236"/>
      <c r="AL84" s="236"/>
      <c r="AM84" s="236"/>
      <c r="AN84" s="236"/>
      <c r="AO84" s="236"/>
      <c r="AP84" s="236"/>
      <c r="AQ84" s="236"/>
      <c r="AR84" s="236"/>
      <c r="AS84" s="236"/>
      <c r="AT84" s="236"/>
      <c r="AU84" s="236"/>
    </row>
    <row r="85" spans="1:47" ht="15.75" customHeight="1">
      <c r="A85" s="203" t="s">
        <v>53</v>
      </c>
      <c r="B85" s="204" t="s">
        <v>274</v>
      </c>
      <c r="C85" s="203" t="s">
        <v>298</v>
      </c>
      <c r="D85" s="203" t="s">
        <v>310</v>
      </c>
      <c r="E85" s="205" t="s">
        <v>311</v>
      </c>
      <c r="F85" s="203" t="s">
        <v>1824</v>
      </c>
      <c r="G85" s="203" t="s">
        <v>62</v>
      </c>
      <c r="H85" s="203" t="s">
        <v>312</v>
      </c>
      <c r="I85" s="206">
        <v>1</v>
      </c>
      <c r="J85" s="543" t="s">
        <v>8</v>
      </c>
      <c r="K85" s="203" t="s">
        <v>1911</v>
      </c>
      <c r="L85" s="525">
        <v>2023</v>
      </c>
      <c r="M85" s="203" t="s">
        <v>12</v>
      </c>
      <c r="N85" s="170" t="s">
        <v>1912</v>
      </c>
      <c r="O85" s="207"/>
      <c r="P85" s="203"/>
      <c r="Q85" s="176"/>
      <c r="R85" s="208"/>
      <c r="S85" s="203"/>
      <c r="T85" s="203"/>
      <c r="U85" s="203"/>
      <c r="V85" s="203"/>
      <c r="W85" s="203"/>
      <c r="X85" s="203"/>
      <c r="Y85" s="203"/>
      <c r="Z85" s="203"/>
      <c r="AA85" s="203"/>
      <c r="AB85" s="236"/>
      <c r="AC85" s="236"/>
      <c r="AD85" s="236"/>
      <c r="AE85" s="236"/>
      <c r="AF85" s="236"/>
      <c r="AG85" s="236"/>
      <c r="AH85" s="236"/>
      <c r="AI85" s="236"/>
      <c r="AJ85" s="236"/>
      <c r="AK85" s="236"/>
      <c r="AL85" s="236"/>
      <c r="AM85" s="236"/>
      <c r="AN85" s="236"/>
      <c r="AO85" s="236"/>
      <c r="AP85" s="236"/>
      <c r="AQ85" s="236"/>
      <c r="AR85" s="236"/>
      <c r="AS85" s="236"/>
      <c r="AT85" s="236"/>
      <c r="AU85" s="236"/>
    </row>
    <row r="86" spans="1:47" ht="15.75" customHeight="1">
      <c r="A86" s="170" t="s">
        <v>53</v>
      </c>
      <c r="B86" s="171" t="s">
        <v>274</v>
      </c>
      <c r="C86" s="170" t="s">
        <v>298</v>
      </c>
      <c r="D86" s="170" t="s">
        <v>313</v>
      </c>
      <c r="E86" s="170" t="s">
        <v>314</v>
      </c>
      <c r="F86" s="170" t="s">
        <v>1824</v>
      </c>
      <c r="G86" s="170" t="s">
        <v>62</v>
      </c>
      <c r="H86" s="170" t="s">
        <v>315</v>
      </c>
      <c r="I86" s="170" t="s">
        <v>221</v>
      </c>
      <c r="J86" s="525" t="s">
        <v>8</v>
      </c>
      <c r="K86" s="203" t="s">
        <v>1913</v>
      </c>
      <c r="L86" s="525">
        <v>2023</v>
      </c>
      <c r="M86" s="170" t="s">
        <v>10</v>
      </c>
      <c r="N86" s="170" t="s">
        <v>1914</v>
      </c>
      <c r="O86" s="209"/>
      <c r="P86" s="170"/>
      <c r="Q86" s="162"/>
      <c r="R86" s="170"/>
      <c r="S86" s="184"/>
      <c r="T86" s="170"/>
      <c r="U86" s="170"/>
      <c r="V86" s="170"/>
      <c r="W86" s="170"/>
      <c r="X86" s="170"/>
      <c r="Y86" s="170"/>
      <c r="Z86" s="170"/>
      <c r="AA86" s="170"/>
      <c r="AB86" s="236"/>
      <c r="AC86" s="236"/>
      <c r="AD86" s="236"/>
      <c r="AE86" s="236"/>
      <c r="AF86" s="236"/>
      <c r="AG86" s="236"/>
      <c r="AH86" s="236"/>
      <c r="AI86" s="236"/>
      <c r="AJ86" s="236"/>
      <c r="AK86" s="236"/>
      <c r="AL86" s="236"/>
      <c r="AM86" s="236"/>
      <c r="AN86" s="236"/>
      <c r="AO86" s="236"/>
      <c r="AP86" s="236"/>
      <c r="AQ86" s="236"/>
      <c r="AR86" s="236"/>
      <c r="AS86" s="236"/>
      <c r="AT86" s="236"/>
      <c r="AU86" s="236"/>
    </row>
    <row r="87" spans="1:47" ht="15.75" customHeight="1">
      <c r="A87" s="210" t="s">
        <v>53</v>
      </c>
      <c r="B87" s="211" t="s">
        <v>274</v>
      </c>
      <c r="C87" s="210" t="s">
        <v>298</v>
      </c>
      <c r="D87" s="210" t="s">
        <v>316</v>
      </c>
      <c r="E87" s="210" t="s">
        <v>317</v>
      </c>
      <c r="F87" s="170" t="s">
        <v>1814</v>
      </c>
      <c r="G87" s="210" t="s">
        <v>62</v>
      </c>
      <c r="H87" s="210" t="s">
        <v>318</v>
      </c>
      <c r="I87" s="212">
        <v>1</v>
      </c>
      <c r="J87" s="530" t="s">
        <v>1090</v>
      </c>
      <c r="K87" s="170" t="s">
        <v>1915</v>
      </c>
      <c r="L87" s="530"/>
      <c r="M87" s="212"/>
      <c r="N87" s="212"/>
      <c r="O87" s="213"/>
      <c r="P87" s="210"/>
      <c r="Q87" s="182"/>
      <c r="R87" s="214"/>
      <c r="S87" s="212"/>
      <c r="T87" s="212"/>
      <c r="U87" s="212"/>
      <c r="V87" s="212"/>
      <c r="W87" s="212"/>
      <c r="X87" s="212"/>
      <c r="Y87" s="212"/>
      <c r="Z87" s="212"/>
      <c r="AA87" s="210"/>
      <c r="AB87" s="236"/>
      <c r="AC87" s="236"/>
      <c r="AD87" s="236"/>
      <c r="AE87" s="236"/>
      <c r="AF87" s="236"/>
      <c r="AG87" s="236"/>
      <c r="AH87" s="236"/>
      <c r="AI87" s="236"/>
      <c r="AJ87" s="236"/>
      <c r="AK87" s="236"/>
      <c r="AL87" s="236"/>
      <c r="AM87" s="236"/>
      <c r="AN87" s="236"/>
      <c r="AO87" s="236"/>
      <c r="AP87" s="236"/>
      <c r="AQ87" s="236"/>
      <c r="AR87" s="236"/>
      <c r="AS87" s="236"/>
      <c r="AT87" s="236"/>
      <c r="AU87" s="236"/>
    </row>
    <row r="88" spans="1:47" ht="15.75" customHeight="1">
      <c r="A88" s="170" t="s">
        <v>53</v>
      </c>
      <c r="B88" s="171" t="s">
        <v>274</v>
      </c>
      <c r="C88" s="170" t="s">
        <v>319</v>
      </c>
      <c r="D88" s="170" t="s">
        <v>320</v>
      </c>
      <c r="E88" s="170" t="s">
        <v>321</v>
      </c>
      <c r="F88" s="172"/>
      <c r="G88" s="172" t="s">
        <v>62</v>
      </c>
      <c r="H88" s="172"/>
      <c r="I88" s="172"/>
      <c r="J88" s="524">
        <v>1</v>
      </c>
      <c r="K88" s="172"/>
      <c r="L88" s="524"/>
      <c r="M88" s="172"/>
      <c r="N88" s="172"/>
      <c r="O88" s="175"/>
      <c r="P88" s="172"/>
      <c r="Q88" s="176"/>
      <c r="R88" s="177"/>
      <c r="S88" s="172"/>
      <c r="T88" s="172"/>
      <c r="U88" s="172"/>
      <c r="V88" s="172"/>
      <c r="W88" s="172"/>
      <c r="X88" s="172"/>
      <c r="Y88" s="172"/>
      <c r="Z88" s="172"/>
      <c r="AA88" s="172"/>
      <c r="AB88" s="236"/>
      <c r="AC88" s="236"/>
      <c r="AD88" s="236"/>
      <c r="AE88" s="236"/>
      <c r="AF88" s="236"/>
      <c r="AG88" s="236"/>
      <c r="AH88" s="236"/>
      <c r="AI88" s="236"/>
      <c r="AJ88" s="236"/>
      <c r="AK88" s="236"/>
      <c r="AL88" s="236"/>
      <c r="AM88" s="236"/>
      <c r="AN88" s="236"/>
      <c r="AO88" s="236"/>
      <c r="AP88" s="236"/>
      <c r="AQ88" s="236"/>
      <c r="AR88" s="236"/>
      <c r="AS88" s="236"/>
      <c r="AT88" s="236"/>
      <c r="AU88" s="236"/>
    </row>
    <row r="89" spans="1:47" ht="15.75" customHeight="1">
      <c r="A89" s="170" t="s">
        <v>53</v>
      </c>
      <c r="B89" s="171" t="s">
        <v>274</v>
      </c>
      <c r="C89" s="170" t="s">
        <v>319</v>
      </c>
      <c r="D89" s="170" t="s">
        <v>322</v>
      </c>
      <c r="E89" s="178" t="s">
        <v>323</v>
      </c>
      <c r="F89" s="170" t="s">
        <v>1824</v>
      </c>
      <c r="G89" s="170" t="s">
        <v>62</v>
      </c>
      <c r="H89" s="170" t="s">
        <v>324</v>
      </c>
      <c r="I89" s="170" t="s">
        <v>325</v>
      </c>
      <c r="J89" s="525" t="s">
        <v>1191</v>
      </c>
      <c r="K89" s="170" t="s">
        <v>1916</v>
      </c>
      <c r="L89" s="525">
        <v>2024</v>
      </c>
      <c r="M89" s="170" t="s">
        <v>12</v>
      </c>
      <c r="N89" s="170" t="s">
        <v>1917</v>
      </c>
      <c r="O89" s="181"/>
      <c r="P89" s="170"/>
      <c r="Q89" s="176"/>
      <c r="R89" s="184"/>
      <c r="S89" s="170"/>
      <c r="T89" s="170"/>
      <c r="U89" s="170"/>
      <c r="V89" s="170"/>
      <c r="W89" s="170"/>
      <c r="X89" s="170"/>
      <c r="Y89" s="170"/>
      <c r="Z89" s="170"/>
      <c r="AA89" s="170"/>
      <c r="AB89" s="236"/>
      <c r="AC89" s="236"/>
      <c r="AD89" s="236"/>
      <c r="AE89" s="236"/>
      <c r="AF89" s="236"/>
      <c r="AG89" s="236"/>
      <c r="AH89" s="236"/>
      <c r="AI89" s="236"/>
      <c r="AJ89" s="236"/>
      <c r="AK89" s="236"/>
      <c r="AL89" s="236"/>
      <c r="AM89" s="236"/>
      <c r="AN89" s="236"/>
      <c r="AO89" s="236"/>
      <c r="AP89" s="236"/>
      <c r="AQ89" s="236"/>
      <c r="AR89" s="236"/>
      <c r="AS89" s="236"/>
      <c r="AT89" s="236"/>
      <c r="AU89" s="236"/>
    </row>
    <row r="90" spans="1:47" ht="15.75" customHeight="1">
      <c r="A90" s="170" t="s">
        <v>53</v>
      </c>
      <c r="B90" s="171" t="s">
        <v>274</v>
      </c>
      <c r="C90" s="170" t="s">
        <v>319</v>
      </c>
      <c r="D90" s="170" t="s">
        <v>326</v>
      </c>
      <c r="E90" s="178" t="s">
        <v>327</v>
      </c>
      <c r="F90" s="170" t="s">
        <v>1816</v>
      </c>
      <c r="G90" s="170" t="s">
        <v>62</v>
      </c>
      <c r="H90" s="170" t="s">
        <v>328</v>
      </c>
      <c r="I90" s="179">
        <v>1</v>
      </c>
      <c r="J90" s="525" t="s">
        <v>1090</v>
      </c>
      <c r="K90" s="170" t="s">
        <v>1918</v>
      </c>
      <c r="L90" s="525"/>
      <c r="M90" s="170"/>
      <c r="N90" s="170"/>
      <c r="O90" s="181"/>
      <c r="P90" s="170"/>
      <c r="Q90" s="176"/>
      <c r="R90" s="184"/>
      <c r="S90" s="170"/>
      <c r="T90" s="170"/>
      <c r="U90" s="170"/>
      <c r="V90" s="170"/>
      <c r="W90" s="170"/>
      <c r="X90" s="170"/>
      <c r="Y90" s="170"/>
      <c r="Z90" s="170"/>
      <c r="AA90" s="170"/>
      <c r="AB90" s="236"/>
      <c r="AC90" s="236"/>
      <c r="AD90" s="236"/>
      <c r="AE90" s="236"/>
      <c r="AF90" s="236"/>
      <c r="AG90" s="236"/>
      <c r="AH90" s="236"/>
      <c r="AI90" s="236"/>
      <c r="AJ90" s="236"/>
      <c r="AK90" s="236"/>
      <c r="AL90" s="236"/>
      <c r="AM90" s="236"/>
      <c r="AN90" s="236"/>
      <c r="AO90" s="236"/>
      <c r="AP90" s="236"/>
      <c r="AQ90" s="236"/>
      <c r="AR90" s="236"/>
      <c r="AS90" s="236"/>
      <c r="AT90" s="236"/>
      <c r="AU90" s="236"/>
    </row>
    <row r="91" spans="1:47" ht="15.75" customHeight="1">
      <c r="A91" s="170" t="s">
        <v>53</v>
      </c>
      <c r="B91" s="171" t="s">
        <v>274</v>
      </c>
      <c r="C91" s="170" t="s">
        <v>319</v>
      </c>
      <c r="D91" s="170" t="s">
        <v>329</v>
      </c>
      <c r="E91" s="170" t="s">
        <v>330</v>
      </c>
      <c r="F91" s="170" t="s">
        <v>1816</v>
      </c>
      <c r="G91" s="170" t="s">
        <v>62</v>
      </c>
      <c r="H91" s="170" t="s">
        <v>182</v>
      </c>
      <c r="I91" s="179">
        <v>1</v>
      </c>
      <c r="J91" s="525" t="s">
        <v>1090</v>
      </c>
      <c r="K91" s="188" t="s">
        <v>1919</v>
      </c>
      <c r="L91" s="525"/>
      <c r="M91" s="179"/>
      <c r="N91" s="179"/>
      <c r="O91" s="181"/>
      <c r="P91" s="188" t="s">
        <v>1920</v>
      </c>
      <c r="Q91" s="182"/>
      <c r="R91" s="183"/>
      <c r="S91" s="179"/>
      <c r="T91" s="179"/>
      <c r="U91" s="179"/>
      <c r="V91" s="179"/>
      <c r="W91" s="179"/>
      <c r="X91" s="179"/>
      <c r="Y91" s="179"/>
      <c r="Z91" s="179"/>
      <c r="AA91" s="170"/>
      <c r="AB91" s="236"/>
      <c r="AC91" s="236"/>
      <c r="AD91" s="236"/>
      <c r="AE91" s="236"/>
      <c r="AF91" s="236"/>
      <c r="AG91" s="236"/>
      <c r="AH91" s="236"/>
      <c r="AI91" s="236"/>
      <c r="AJ91" s="236"/>
      <c r="AK91" s="236"/>
      <c r="AL91" s="236"/>
      <c r="AM91" s="236"/>
      <c r="AN91" s="236"/>
      <c r="AO91" s="236"/>
      <c r="AP91" s="236"/>
      <c r="AQ91" s="236"/>
      <c r="AR91" s="236"/>
      <c r="AS91" s="236"/>
      <c r="AT91" s="236"/>
      <c r="AU91" s="236"/>
    </row>
    <row r="92" spans="1:47" ht="15.75" customHeight="1">
      <c r="A92" s="170" t="s">
        <v>53</v>
      </c>
      <c r="B92" s="171" t="s">
        <v>274</v>
      </c>
      <c r="C92" s="170" t="s">
        <v>319</v>
      </c>
      <c r="D92" s="170" t="s">
        <v>331</v>
      </c>
      <c r="E92" s="170" t="s">
        <v>1921</v>
      </c>
      <c r="F92" s="170" t="s">
        <v>1816</v>
      </c>
      <c r="G92" s="170" t="s">
        <v>62</v>
      </c>
      <c r="H92" s="170" t="s">
        <v>182</v>
      </c>
      <c r="I92" s="179">
        <v>1</v>
      </c>
      <c r="J92" s="525" t="s">
        <v>1090</v>
      </c>
      <c r="K92" s="188" t="s">
        <v>1922</v>
      </c>
      <c r="L92" s="525"/>
      <c r="M92" s="179"/>
      <c r="N92" s="179"/>
      <c r="O92" s="215"/>
      <c r="P92" s="210" t="s">
        <v>1923</v>
      </c>
      <c r="Q92" s="182"/>
      <c r="R92" s="183"/>
      <c r="S92" s="179"/>
      <c r="T92" s="179"/>
      <c r="U92" s="179"/>
      <c r="V92" s="179"/>
      <c r="W92" s="179"/>
      <c r="X92" s="179"/>
      <c r="Y92" s="179"/>
      <c r="Z92" s="179"/>
      <c r="AA92" s="170"/>
      <c r="AB92" s="236"/>
      <c r="AC92" s="236"/>
      <c r="AD92" s="236"/>
      <c r="AE92" s="236"/>
      <c r="AF92" s="236"/>
      <c r="AG92" s="236"/>
      <c r="AH92" s="236"/>
      <c r="AI92" s="236"/>
      <c r="AJ92" s="236"/>
      <c r="AK92" s="236"/>
      <c r="AL92" s="236"/>
      <c r="AM92" s="236"/>
      <c r="AN92" s="236"/>
      <c r="AO92" s="236"/>
      <c r="AP92" s="236"/>
      <c r="AQ92" s="236"/>
      <c r="AR92" s="236"/>
      <c r="AS92" s="236"/>
      <c r="AT92" s="236"/>
      <c r="AU92" s="236"/>
    </row>
    <row r="93" spans="1:47" ht="15.75" customHeight="1">
      <c r="A93" s="170" t="s">
        <v>53</v>
      </c>
      <c r="B93" s="171" t="s">
        <v>274</v>
      </c>
      <c r="C93" s="170" t="s">
        <v>319</v>
      </c>
      <c r="D93" s="170" t="s">
        <v>333</v>
      </c>
      <c r="E93" s="170" t="s">
        <v>334</v>
      </c>
      <c r="F93" s="170" t="s">
        <v>1821</v>
      </c>
      <c r="G93" s="170" t="s">
        <v>62</v>
      </c>
      <c r="H93" s="170" t="s">
        <v>335</v>
      </c>
      <c r="I93" s="179">
        <v>1</v>
      </c>
      <c r="J93" s="525" t="s">
        <v>1191</v>
      </c>
      <c r="K93" s="170" t="s">
        <v>1924</v>
      </c>
      <c r="L93" s="525"/>
      <c r="M93" s="170" t="s">
        <v>10</v>
      </c>
      <c r="N93" s="170" t="s">
        <v>1925</v>
      </c>
      <c r="O93" s="181"/>
      <c r="P93" s="170" t="s">
        <v>1926</v>
      </c>
      <c r="Q93" s="182"/>
      <c r="R93" s="183"/>
      <c r="S93" s="179"/>
      <c r="T93" s="179"/>
      <c r="U93" s="179"/>
      <c r="V93" s="179"/>
      <c r="W93" s="179"/>
      <c r="X93" s="179"/>
      <c r="Y93" s="179"/>
      <c r="Z93" s="179"/>
      <c r="AA93" s="170"/>
      <c r="AB93" s="236"/>
      <c r="AC93" s="236"/>
      <c r="AD93" s="236"/>
      <c r="AE93" s="236"/>
      <c r="AF93" s="236"/>
      <c r="AG93" s="236"/>
      <c r="AH93" s="236"/>
      <c r="AI93" s="236"/>
      <c r="AJ93" s="236"/>
      <c r="AK93" s="236"/>
      <c r="AL93" s="236"/>
      <c r="AM93" s="236"/>
      <c r="AN93" s="236"/>
      <c r="AO93" s="236"/>
      <c r="AP93" s="236"/>
      <c r="AQ93" s="236"/>
      <c r="AR93" s="236"/>
      <c r="AS93" s="236"/>
      <c r="AT93" s="236"/>
      <c r="AU93" s="236"/>
    </row>
    <row r="94" spans="1:47" ht="15.75" hidden="1" customHeight="1">
      <c r="A94" s="170" t="s">
        <v>53</v>
      </c>
      <c r="B94" s="171" t="s">
        <v>1927</v>
      </c>
      <c r="C94" s="170" t="s">
        <v>337</v>
      </c>
      <c r="D94" s="170" t="s">
        <v>338</v>
      </c>
      <c r="E94" s="170" t="s">
        <v>339</v>
      </c>
      <c r="F94" s="172"/>
      <c r="G94" s="172" t="s">
        <v>71</v>
      </c>
      <c r="H94" s="172"/>
      <c r="I94" s="172"/>
      <c r="J94" s="172"/>
      <c r="K94" s="172"/>
      <c r="L94" s="174"/>
      <c r="M94" s="172"/>
      <c r="N94" s="172"/>
      <c r="O94" s="175"/>
      <c r="P94" s="172"/>
      <c r="Q94" s="176"/>
      <c r="R94" s="177"/>
      <c r="S94" s="172"/>
      <c r="T94" s="172"/>
      <c r="U94" s="172"/>
      <c r="V94" s="172"/>
      <c r="W94" s="172"/>
      <c r="X94" s="172"/>
      <c r="Y94" s="172"/>
      <c r="Z94" s="172"/>
      <c r="AA94" s="172"/>
      <c r="AB94" s="162"/>
      <c r="AC94" s="162"/>
      <c r="AD94" s="162"/>
      <c r="AE94" s="162"/>
      <c r="AF94" s="162"/>
      <c r="AG94" s="162"/>
      <c r="AH94" s="162"/>
      <c r="AI94" s="162"/>
      <c r="AJ94" s="162"/>
      <c r="AK94" s="162"/>
      <c r="AL94" s="162"/>
      <c r="AM94" s="162"/>
      <c r="AN94" s="162"/>
      <c r="AO94" s="162"/>
      <c r="AP94" s="162"/>
      <c r="AQ94" s="162"/>
      <c r="AR94" s="162"/>
      <c r="AS94" s="162"/>
      <c r="AT94" s="162"/>
      <c r="AU94" s="162"/>
    </row>
    <row r="95" spans="1:47" ht="15.75" customHeight="1">
      <c r="A95" s="170" t="s">
        <v>53</v>
      </c>
      <c r="B95" s="171" t="s">
        <v>1928</v>
      </c>
      <c r="C95" s="170" t="s">
        <v>337</v>
      </c>
      <c r="D95" s="170" t="s">
        <v>340</v>
      </c>
      <c r="E95" s="178" t="s">
        <v>341</v>
      </c>
      <c r="F95" s="170" t="s">
        <v>1821</v>
      </c>
      <c r="G95" s="170" t="s">
        <v>62</v>
      </c>
      <c r="H95" s="170" t="s">
        <v>342</v>
      </c>
      <c r="I95" s="170" t="s">
        <v>343</v>
      </c>
      <c r="J95" s="525" t="s">
        <v>8</v>
      </c>
      <c r="K95" s="216"/>
      <c r="L95" s="525">
        <v>2022</v>
      </c>
      <c r="M95" s="170" t="s">
        <v>10</v>
      </c>
      <c r="N95" s="217"/>
      <c r="O95" s="181"/>
      <c r="P95" s="170"/>
      <c r="Q95" s="176"/>
      <c r="R95" s="184"/>
      <c r="S95" s="170"/>
      <c r="T95" s="170"/>
      <c r="U95" s="170"/>
      <c r="V95" s="170"/>
      <c r="W95" s="170"/>
      <c r="X95" s="170"/>
      <c r="Y95" s="170"/>
      <c r="Z95" s="170"/>
      <c r="AA95" s="170"/>
      <c r="AB95" s="236"/>
      <c r="AC95" s="236"/>
      <c r="AD95" s="236"/>
      <c r="AE95" s="236"/>
      <c r="AF95" s="236"/>
      <c r="AG95" s="236"/>
      <c r="AH95" s="236"/>
      <c r="AI95" s="236"/>
      <c r="AJ95" s="236"/>
      <c r="AK95" s="236"/>
      <c r="AL95" s="236"/>
      <c r="AM95" s="236"/>
      <c r="AN95" s="236"/>
      <c r="AO95" s="236"/>
      <c r="AP95" s="236"/>
      <c r="AQ95" s="236"/>
      <c r="AR95" s="236"/>
      <c r="AS95" s="236"/>
      <c r="AT95" s="236"/>
      <c r="AU95" s="236"/>
    </row>
    <row r="96" spans="1:47" ht="15.75" customHeight="1">
      <c r="A96" s="170" t="s">
        <v>53</v>
      </c>
      <c r="B96" s="171" t="s">
        <v>1928</v>
      </c>
      <c r="C96" s="170" t="s">
        <v>337</v>
      </c>
      <c r="D96" s="170" t="s">
        <v>344</v>
      </c>
      <c r="E96" s="178" t="s">
        <v>345</v>
      </c>
      <c r="F96" s="170" t="s">
        <v>1821</v>
      </c>
      <c r="G96" s="170" t="s">
        <v>62</v>
      </c>
      <c r="H96" s="170" t="s">
        <v>346</v>
      </c>
      <c r="I96" s="170" t="s">
        <v>343</v>
      </c>
      <c r="J96" s="525" t="s">
        <v>8</v>
      </c>
      <c r="K96" s="170"/>
      <c r="L96" s="525">
        <v>2022</v>
      </c>
      <c r="M96" s="170" t="s">
        <v>10</v>
      </c>
      <c r="N96" s="218"/>
      <c r="O96" s="181"/>
      <c r="P96" s="170"/>
      <c r="Q96" s="176"/>
      <c r="R96" s="184"/>
      <c r="S96" s="170"/>
      <c r="T96" s="170"/>
      <c r="U96" s="170"/>
      <c r="V96" s="170"/>
      <c r="W96" s="170"/>
      <c r="X96" s="170"/>
      <c r="Y96" s="170"/>
      <c r="Z96" s="170"/>
      <c r="AA96" s="170"/>
      <c r="AB96" s="236"/>
      <c r="AC96" s="236"/>
      <c r="AD96" s="236"/>
      <c r="AE96" s="236"/>
      <c r="AF96" s="236"/>
      <c r="AG96" s="236"/>
      <c r="AH96" s="236"/>
      <c r="AI96" s="236"/>
      <c r="AJ96" s="236"/>
      <c r="AK96" s="236"/>
      <c r="AL96" s="236"/>
      <c r="AM96" s="236"/>
      <c r="AN96" s="236"/>
      <c r="AO96" s="236"/>
      <c r="AP96" s="236"/>
      <c r="AQ96" s="236"/>
      <c r="AR96" s="236"/>
      <c r="AS96" s="236"/>
      <c r="AT96" s="236"/>
      <c r="AU96" s="236"/>
    </row>
    <row r="97" spans="1:47" ht="15.75" customHeight="1">
      <c r="A97" s="170" t="s">
        <v>53</v>
      </c>
      <c r="B97" s="171" t="s">
        <v>1928</v>
      </c>
      <c r="C97" s="170" t="s">
        <v>337</v>
      </c>
      <c r="D97" s="170" t="s">
        <v>347</v>
      </c>
      <c r="E97" s="170" t="s">
        <v>348</v>
      </c>
      <c r="F97" s="170" t="s">
        <v>1929</v>
      </c>
      <c r="G97" s="170" t="s">
        <v>62</v>
      </c>
      <c r="H97" s="170" t="s">
        <v>349</v>
      </c>
      <c r="I97" s="170" t="s">
        <v>110</v>
      </c>
      <c r="J97" s="525" t="s">
        <v>8</v>
      </c>
      <c r="K97" s="170"/>
      <c r="L97" s="525">
        <v>2022</v>
      </c>
      <c r="M97" s="170" t="s">
        <v>10</v>
      </c>
      <c r="N97" s="170" t="s">
        <v>1930</v>
      </c>
      <c r="O97" s="181"/>
      <c r="P97" s="170"/>
      <c r="Q97" s="176"/>
      <c r="R97" s="184"/>
      <c r="S97" s="170"/>
      <c r="T97" s="170"/>
      <c r="U97" s="170"/>
      <c r="V97" s="170"/>
      <c r="W97" s="170"/>
      <c r="X97" s="170"/>
      <c r="Y97" s="170"/>
      <c r="Z97" s="170"/>
      <c r="AA97" s="170"/>
      <c r="AB97" s="236"/>
      <c r="AC97" s="236"/>
      <c r="AD97" s="236"/>
      <c r="AE97" s="236"/>
      <c r="AF97" s="236"/>
      <c r="AG97" s="236"/>
      <c r="AH97" s="236"/>
      <c r="AI97" s="236"/>
      <c r="AJ97" s="236"/>
      <c r="AK97" s="236"/>
      <c r="AL97" s="236"/>
      <c r="AM97" s="236"/>
      <c r="AN97" s="236"/>
      <c r="AO97" s="236"/>
      <c r="AP97" s="236"/>
      <c r="AQ97" s="236"/>
      <c r="AR97" s="236"/>
      <c r="AS97" s="236"/>
      <c r="AT97" s="236"/>
      <c r="AU97" s="236"/>
    </row>
    <row r="98" spans="1:47" ht="15.75" customHeight="1">
      <c r="A98" s="170" t="s">
        <v>53</v>
      </c>
      <c r="B98" s="171" t="s">
        <v>1928</v>
      </c>
      <c r="C98" s="170" t="s">
        <v>337</v>
      </c>
      <c r="D98" s="170" t="s">
        <v>350</v>
      </c>
      <c r="E98" s="170" t="s">
        <v>351</v>
      </c>
      <c r="F98" s="172"/>
      <c r="G98" s="172" t="s">
        <v>58</v>
      </c>
      <c r="H98" s="172" t="s">
        <v>352</v>
      </c>
      <c r="I98" s="173">
        <v>1</v>
      </c>
      <c r="J98" s="524">
        <v>1</v>
      </c>
      <c r="K98" s="172"/>
      <c r="L98" s="524"/>
      <c r="M98" s="172"/>
      <c r="N98" s="172"/>
      <c r="O98" s="175"/>
      <c r="P98" s="172"/>
      <c r="Q98" s="176"/>
      <c r="R98" s="177"/>
      <c r="S98" s="172"/>
      <c r="T98" s="172"/>
      <c r="U98" s="172"/>
      <c r="V98" s="172"/>
      <c r="W98" s="172"/>
      <c r="X98" s="172"/>
      <c r="Y98" s="172"/>
      <c r="Z98" s="172"/>
      <c r="AA98" s="172"/>
      <c r="AB98" s="236"/>
      <c r="AC98" s="236"/>
      <c r="AD98" s="236"/>
      <c r="AE98" s="236"/>
      <c r="AF98" s="236"/>
      <c r="AG98" s="236"/>
      <c r="AH98" s="236"/>
      <c r="AI98" s="236"/>
      <c r="AJ98" s="236"/>
      <c r="AK98" s="236"/>
      <c r="AL98" s="236"/>
      <c r="AM98" s="236"/>
      <c r="AN98" s="236"/>
      <c r="AO98" s="236"/>
      <c r="AP98" s="236"/>
      <c r="AQ98" s="236"/>
      <c r="AR98" s="236"/>
      <c r="AS98" s="236"/>
      <c r="AT98" s="236"/>
      <c r="AU98" s="236"/>
    </row>
    <row r="99" spans="1:47" ht="15.75" customHeight="1">
      <c r="A99" s="170" t="s">
        <v>53</v>
      </c>
      <c r="B99" s="171" t="s">
        <v>1928</v>
      </c>
      <c r="C99" s="170" t="s">
        <v>337</v>
      </c>
      <c r="D99" s="170" t="s">
        <v>353</v>
      </c>
      <c r="E99" s="178" t="s">
        <v>354</v>
      </c>
      <c r="F99" s="170" t="s">
        <v>1824</v>
      </c>
      <c r="G99" s="170" t="s">
        <v>58</v>
      </c>
      <c r="H99" s="170" t="s">
        <v>352</v>
      </c>
      <c r="I99" s="179">
        <v>1</v>
      </c>
      <c r="J99" s="525" t="s">
        <v>1090</v>
      </c>
      <c r="K99" s="170" t="s">
        <v>1931</v>
      </c>
      <c r="L99" s="525"/>
      <c r="M99" s="179"/>
      <c r="N99" s="179"/>
      <c r="O99" s="181"/>
      <c r="P99" s="170"/>
      <c r="Q99" s="182"/>
      <c r="R99" s="183"/>
      <c r="S99" s="179"/>
      <c r="T99" s="179"/>
      <c r="U99" s="179"/>
      <c r="V99" s="179"/>
      <c r="W99" s="179"/>
      <c r="X99" s="179"/>
      <c r="Y99" s="179"/>
      <c r="Z99" s="179"/>
      <c r="AA99" s="170"/>
      <c r="AB99" s="236"/>
      <c r="AC99" s="236"/>
      <c r="AD99" s="236"/>
      <c r="AE99" s="236"/>
      <c r="AF99" s="236"/>
      <c r="AG99" s="236"/>
      <c r="AH99" s="236"/>
      <c r="AI99" s="236"/>
      <c r="AJ99" s="236"/>
      <c r="AK99" s="236"/>
      <c r="AL99" s="236"/>
      <c r="AM99" s="236"/>
      <c r="AN99" s="236"/>
      <c r="AO99" s="236"/>
      <c r="AP99" s="236"/>
      <c r="AQ99" s="236"/>
      <c r="AR99" s="236"/>
      <c r="AS99" s="236"/>
      <c r="AT99" s="236"/>
      <c r="AU99" s="236"/>
    </row>
    <row r="100" spans="1:47" ht="15.75" customHeight="1">
      <c r="A100" s="170" t="s">
        <v>53</v>
      </c>
      <c r="B100" s="171" t="s">
        <v>1928</v>
      </c>
      <c r="C100" s="170" t="s">
        <v>337</v>
      </c>
      <c r="D100" s="170" t="s">
        <v>355</v>
      </c>
      <c r="E100" s="178" t="s">
        <v>356</v>
      </c>
      <c r="F100" s="170" t="s">
        <v>1824</v>
      </c>
      <c r="G100" s="170" t="s">
        <v>58</v>
      </c>
      <c r="H100" s="170" t="s">
        <v>352</v>
      </c>
      <c r="I100" s="179">
        <v>1</v>
      </c>
      <c r="J100" s="525" t="s">
        <v>8</v>
      </c>
      <c r="K100" s="170" t="s">
        <v>1932</v>
      </c>
      <c r="L100" s="525">
        <v>2022</v>
      </c>
      <c r="M100" s="170" t="s">
        <v>9</v>
      </c>
      <c r="N100" s="170" t="s">
        <v>1933</v>
      </c>
      <c r="O100" s="181"/>
      <c r="P100" s="170"/>
      <c r="Q100" s="182"/>
      <c r="R100" s="183"/>
      <c r="S100" s="179"/>
      <c r="T100" s="179"/>
      <c r="U100" s="179"/>
      <c r="V100" s="179"/>
      <c r="W100" s="179"/>
      <c r="X100" s="179"/>
      <c r="Y100" s="179"/>
      <c r="Z100" s="179"/>
      <c r="AA100" s="170"/>
      <c r="AB100" s="236"/>
      <c r="AC100" s="236"/>
      <c r="AD100" s="236"/>
      <c r="AE100" s="236"/>
      <c r="AF100" s="236"/>
      <c r="AG100" s="236"/>
      <c r="AH100" s="236"/>
      <c r="AI100" s="236"/>
      <c r="AJ100" s="236"/>
      <c r="AK100" s="236"/>
      <c r="AL100" s="236"/>
      <c r="AM100" s="236"/>
      <c r="AN100" s="236"/>
      <c r="AO100" s="236"/>
      <c r="AP100" s="236"/>
      <c r="AQ100" s="236"/>
      <c r="AR100" s="236"/>
      <c r="AS100" s="236"/>
      <c r="AT100" s="236"/>
      <c r="AU100" s="236"/>
    </row>
    <row r="101" spans="1:47" ht="15.75" customHeight="1">
      <c r="A101" s="170" t="s">
        <v>53</v>
      </c>
      <c r="B101" s="171" t="s">
        <v>1928</v>
      </c>
      <c r="C101" s="170" t="s">
        <v>337</v>
      </c>
      <c r="D101" s="170" t="s">
        <v>357</v>
      </c>
      <c r="E101" s="178" t="s">
        <v>358</v>
      </c>
      <c r="F101" s="170" t="s">
        <v>1824</v>
      </c>
      <c r="G101" s="170" t="s">
        <v>58</v>
      </c>
      <c r="H101" s="170" t="s">
        <v>352</v>
      </c>
      <c r="I101" s="179">
        <v>1</v>
      </c>
      <c r="J101" s="525" t="s">
        <v>1090</v>
      </c>
      <c r="K101" s="170" t="s">
        <v>1934</v>
      </c>
      <c r="L101" s="525"/>
      <c r="M101" s="179"/>
      <c r="N101" s="179"/>
      <c r="O101" s="181"/>
      <c r="P101" s="170"/>
      <c r="Q101" s="182"/>
      <c r="R101" s="183"/>
      <c r="S101" s="179"/>
      <c r="T101" s="179"/>
      <c r="U101" s="179"/>
      <c r="V101" s="179"/>
      <c r="W101" s="179"/>
      <c r="X101" s="179"/>
      <c r="Y101" s="179"/>
      <c r="Z101" s="179"/>
      <c r="AA101" s="170"/>
      <c r="AB101" s="236"/>
      <c r="AC101" s="236"/>
      <c r="AD101" s="236"/>
      <c r="AE101" s="236"/>
      <c r="AF101" s="236"/>
      <c r="AG101" s="236"/>
      <c r="AH101" s="236"/>
      <c r="AI101" s="236"/>
      <c r="AJ101" s="236"/>
      <c r="AK101" s="236"/>
      <c r="AL101" s="236"/>
      <c r="AM101" s="236"/>
      <c r="AN101" s="236"/>
      <c r="AO101" s="236"/>
      <c r="AP101" s="236"/>
      <c r="AQ101" s="236"/>
      <c r="AR101" s="236"/>
      <c r="AS101" s="236"/>
      <c r="AT101" s="236"/>
      <c r="AU101" s="236"/>
    </row>
    <row r="102" spans="1:47" ht="15.75" customHeight="1">
      <c r="A102" s="170" t="s">
        <v>53</v>
      </c>
      <c r="B102" s="171" t="s">
        <v>1928</v>
      </c>
      <c r="C102" s="170" t="s">
        <v>337</v>
      </c>
      <c r="D102" s="170" t="s">
        <v>359</v>
      </c>
      <c r="E102" s="178" t="s">
        <v>360</v>
      </c>
      <c r="F102" s="170" t="s">
        <v>1824</v>
      </c>
      <c r="G102" s="170" t="s">
        <v>58</v>
      </c>
      <c r="H102" s="170" t="s">
        <v>352</v>
      </c>
      <c r="I102" s="179">
        <v>1</v>
      </c>
      <c r="J102" s="525" t="s">
        <v>8</v>
      </c>
      <c r="K102" s="170" t="s">
        <v>1935</v>
      </c>
      <c r="L102" s="525" t="s">
        <v>1936</v>
      </c>
      <c r="M102" s="170" t="s">
        <v>9</v>
      </c>
      <c r="N102" s="170" t="s">
        <v>1937</v>
      </c>
      <c r="O102" s="181"/>
      <c r="P102" s="170"/>
      <c r="Q102" s="182"/>
      <c r="R102" s="183"/>
      <c r="S102" s="179"/>
      <c r="T102" s="179"/>
      <c r="U102" s="179"/>
      <c r="V102" s="179"/>
      <c r="W102" s="179"/>
      <c r="X102" s="179"/>
      <c r="Y102" s="179"/>
      <c r="Z102" s="179"/>
      <c r="AA102" s="170"/>
      <c r="AB102" s="236"/>
      <c r="AC102" s="236"/>
      <c r="AD102" s="236"/>
      <c r="AE102" s="236"/>
      <c r="AF102" s="236"/>
      <c r="AG102" s="236"/>
      <c r="AH102" s="236"/>
      <c r="AI102" s="236"/>
      <c r="AJ102" s="236"/>
      <c r="AK102" s="236"/>
      <c r="AL102" s="236"/>
      <c r="AM102" s="236"/>
      <c r="AN102" s="236"/>
      <c r="AO102" s="236"/>
      <c r="AP102" s="236"/>
      <c r="AQ102" s="236"/>
      <c r="AR102" s="236"/>
      <c r="AS102" s="236"/>
      <c r="AT102" s="236"/>
      <c r="AU102" s="236"/>
    </row>
    <row r="103" spans="1:47" ht="15.75" customHeight="1">
      <c r="A103" s="170" t="s">
        <v>53</v>
      </c>
      <c r="B103" s="171" t="s">
        <v>1928</v>
      </c>
      <c r="C103" s="170" t="s">
        <v>337</v>
      </c>
      <c r="D103" s="170" t="s">
        <v>361</v>
      </c>
      <c r="E103" s="178" t="s">
        <v>362</v>
      </c>
      <c r="F103" s="170" t="s">
        <v>1824</v>
      </c>
      <c r="G103" s="170" t="s">
        <v>58</v>
      </c>
      <c r="H103" s="170" t="s">
        <v>352</v>
      </c>
      <c r="I103" s="179">
        <v>1</v>
      </c>
      <c r="J103" s="525" t="s">
        <v>1191</v>
      </c>
      <c r="K103" s="170" t="s">
        <v>1938</v>
      </c>
      <c r="L103" s="525">
        <v>2023</v>
      </c>
      <c r="M103" s="170" t="s">
        <v>10</v>
      </c>
      <c r="N103" s="188" t="s">
        <v>1939</v>
      </c>
      <c r="O103" s="181"/>
      <c r="P103" s="188" t="s">
        <v>1940</v>
      </c>
      <c r="Q103" s="182"/>
      <c r="R103" s="183"/>
      <c r="S103" s="179"/>
      <c r="T103" s="179"/>
      <c r="U103" s="179"/>
      <c r="V103" s="179"/>
      <c r="W103" s="179"/>
      <c r="X103" s="179"/>
      <c r="Y103" s="179"/>
      <c r="Z103" s="179"/>
      <c r="AA103" s="170"/>
      <c r="AB103" s="236"/>
      <c r="AC103" s="236"/>
      <c r="AD103" s="236"/>
      <c r="AE103" s="236"/>
      <c r="AF103" s="236"/>
      <c r="AG103" s="236"/>
      <c r="AH103" s="236"/>
      <c r="AI103" s="236"/>
      <c r="AJ103" s="236"/>
      <c r="AK103" s="236"/>
      <c r="AL103" s="236"/>
      <c r="AM103" s="236"/>
      <c r="AN103" s="236"/>
      <c r="AO103" s="236"/>
      <c r="AP103" s="236"/>
      <c r="AQ103" s="236"/>
      <c r="AR103" s="236"/>
      <c r="AS103" s="236"/>
      <c r="AT103" s="236"/>
      <c r="AU103" s="236"/>
    </row>
    <row r="104" spans="1:47" ht="15.75" customHeight="1">
      <c r="A104" s="170" t="s">
        <v>53</v>
      </c>
      <c r="B104" s="171" t="s">
        <v>1928</v>
      </c>
      <c r="C104" s="170" t="s">
        <v>337</v>
      </c>
      <c r="D104" s="170" t="s">
        <v>363</v>
      </c>
      <c r="E104" s="178" t="s">
        <v>364</v>
      </c>
      <c r="F104" s="170" t="s">
        <v>1824</v>
      </c>
      <c r="G104" s="170" t="s">
        <v>58</v>
      </c>
      <c r="H104" s="170" t="s">
        <v>352</v>
      </c>
      <c r="I104" s="179">
        <v>1</v>
      </c>
      <c r="J104" s="525" t="s">
        <v>1191</v>
      </c>
      <c r="K104" s="170" t="s">
        <v>1941</v>
      </c>
      <c r="L104" s="525">
        <v>2023</v>
      </c>
      <c r="M104" s="170" t="s">
        <v>10</v>
      </c>
      <c r="N104" s="188" t="s">
        <v>1834</v>
      </c>
      <c r="O104" s="181"/>
      <c r="P104" s="170"/>
      <c r="Q104" s="182"/>
      <c r="R104" s="183"/>
      <c r="S104" s="179"/>
      <c r="T104" s="179"/>
      <c r="U104" s="179"/>
      <c r="V104" s="179"/>
      <c r="W104" s="179"/>
      <c r="X104" s="179"/>
      <c r="Y104" s="179"/>
      <c r="Z104" s="179"/>
      <c r="AA104" s="170"/>
      <c r="AB104" s="236"/>
      <c r="AC104" s="236"/>
      <c r="AD104" s="236"/>
      <c r="AE104" s="236"/>
      <c r="AF104" s="236"/>
      <c r="AG104" s="236"/>
      <c r="AH104" s="236"/>
      <c r="AI104" s="236"/>
      <c r="AJ104" s="236"/>
      <c r="AK104" s="236"/>
      <c r="AL104" s="236"/>
      <c r="AM104" s="236"/>
      <c r="AN104" s="236"/>
      <c r="AO104" s="236"/>
      <c r="AP104" s="236"/>
      <c r="AQ104" s="236"/>
      <c r="AR104" s="236"/>
      <c r="AS104" s="236"/>
      <c r="AT104" s="236"/>
      <c r="AU104" s="236"/>
    </row>
    <row r="105" spans="1:47" ht="15.75" customHeight="1">
      <c r="A105" s="170" t="s">
        <v>53</v>
      </c>
      <c r="B105" s="171" t="s">
        <v>1928</v>
      </c>
      <c r="C105" s="170" t="s">
        <v>337</v>
      </c>
      <c r="D105" s="170" t="s">
        <v>365</v>
      </c>
      <c r="E105" s="178" t="s">
        <v>366</v>
      </c>
      <c r="F105" s="170" t="s">
        <v>1824</v>
      </c>
      <c r="G105" s="170" t="s">
        <v>58</v>
      </c>
      <c r="H105" s="170" t="s">
        <v>352</v>
      </c>
      <c r="I105" s="179">
        <v>1</v>
      </c>
      <c r="J105" s="525" t="s">
        <v>8</v>
      </c>
      <c r="K105" s="179"/>
      <c r="L105" s="525">
        <v>2022</v>
      </c>
      <c r="M105" s="170" t="s">
        <v>10</v>
      </c>
      <c r="N105" s="219" t="s">
        <v>1942</v>
      </c>
      <c r="O105" s="181"/>
      <c r="P105" s="170"/>
      <c r="Q105" s="182"/>
      <c r="R105" s="183"/>
      <c r="S105" s="179"/>
      <c r="T105" s="179"/>
      <c r="U105" s="179"/>
      <c r="V105" s="179"/>
      <c r="W105" s="179"/>
      <c r="X105" s="179"/>
      <c r="Y105" s="179"/>
      <c r="Z105" s="179"/>
      <c r="AA105" s="170"/>
      <c r="AB105" s="236"/>
      <c r="AC105" s="236"/>
      <c r="AD105" s="236"/>
      <c r="AE105" s="236"/>
      <c r="AF105" s="236"/>
      <c r="AG105" s="236"/>
      <c r="AH105" s="236"/>
      <c r="AI105" s="236"/>
      <c r="AJ105" s="236"/>
      <c r="AK105" s="236"/>
      <c r="AL105" s="236"/>
      <c r="AM105" s="236"/>
      <c r="AN105" s="236"/>
      <c r="AO105" s="236"/>
      <c r="AP105" s="236"/>
      <c r="AQ105" s="236"/>
      <c r="AR105" s="236"/>
      <c r="AS105" s="236"/>
      <c r="AT105" s="236"/>
      <c r="AU105" s="236"/>
    </row>
    <row r="106" spans="1:47" ht="15.75" customHeight="1">
      <c r="A106" s="170" t="s">
        <v>53</v>
      </c>
      <c r="B106" s="171" t="s">
        <v>1928</v>
      </c>
      <c r="C106" s="170" t="s">
        <v>337</v>
      </c>
      <c r="D106" s="170" t="s">
        <v>367</v>
      </c>
      <c r="E106" s="178" t="s">
        <v>368</v>
      </c>
      <c r="F106" s="170" t="s">
        <v>1824</v>
      </c>
      <c r="G106" s="170" t="s">
        <v>58</v>
      </c>
      <c r="H106" s="170" t="s">
        <v>352</v>
      </c>
      <c r="I106" s="179">
        <v>1</v>
      </c>
      <c r="J106" s="525" t="s">
        <v>1191</v>
      </c>
      <c r="K106" s="170" t="s">
        <v>1943</v>
      </c>
      <c r="L106" s="525">
        <v>2023</v>
      </c>
      <c r="M106" s="170" t="s">
        <v>10</v>
      </c>
      <c r="N106" s="170" t="s">
        <v>1944</v>
      </c>
      <c r="O106" s="181"/>
      <c r="P106" s="170"/>
      <c r="Q106" s="182"/>
      <c r="R106" s="183"/>
      <c r="S106" s="179"/>
      <c r="T106" s="179"/>
      <c r="U106" s="179"/>
      <c r="V106" s="179"/>
      <c r="W106" s="179"/>
      <c r="X106" s="179"/>
      <c r="Y106" s="179"/>
      <c r="Z106" s="179"/>
      <c r="AA106" s="170"/>
      <c r="AB106" s="236"/>
      <c r="AC106" s="236"/>
      <c r="AD106" s="236"/>
      <c r="AE106" s="236"/>
      <c r="AF106" s="236"/>
      <c r="AG106" s="236"/>
      <c r="AH106" s="236"/>
      <c r="AI106" s="236"/>
      <c r="AJ106" s="236"/>
      <c r="AK106" s="236"/>
      <c r="AL106" s="236"/>
      <c r="AM106" s="236"/>
      <c r="AN106" s="236"/>
      <c r="AO106" s="236"/>
      <c r="AP106" s="236"/>
      <c r="AQ106" s="236"/>
      <c r="AR106" s="236"/>
      <c r="AS106" s="236"/>
      <c r="AT106" s="236"/>
      <c r="AU106" s="236"/>
    </row>
    <row r="107" spans="1:47" ht="15.75" customHeight="1">
      <c r="A107" s="170" t="s">
        <v>53</v>
      </c>
      <c r="B107" s="171" t="s">
        <v>1928</v>
      </c>
      <c r="C107" s="170" t="s">
        <v>337</v>
      </c>
      <c r="D107" s="170" t="s">
        <v>369</v>
      </c>
      <c r="E107" s="178" t="s">
        <v>370</v>
      </c>
      <c r="F107" s="170" t="s">
        <v>1824</v>
      </c>
      <c r="G107" s="170" t="s">
        <v>58</v>
      </c>
      <c r="H107" s="170" t="s">
        <v>352</v>
      </c>
      <c r="I107" s="179">
        <v>1</v>
      </c>
      <c r="J107" s="525" t="s">
        <v>1090</v>
      </c>
      <c r="K107" s="170" t="s">
        <v>1945</v>
      </c>
      <c r="L107" s="525"/>
      <c r="M107" s="179"/>
      <c r="N107" s="179"/>
      <c r="O107" s="181"/>
      <c r="P107" s="170"/>
      <c r="Q107" s="182"/>
      <c r="R107" s="183"/>
      <c r="S107" s="179"/>
      <c r="T107" s="179"/>
      <c r="U107" s="179"/>
      <c r="V107" s="179"/>
      <c r="W107" s="179"/>
      <c r="X107" s="179"/>
      <c r="Y107" s="179"/>
      <c r="Z107" s="179"/>
      <c r="AA107" s="170"/>
      <c r="AB107" s="236"/>
      <c r="AC107" s="236"/>
      <c r="AD107" s="236"/>
      <c r="AE107" s="236"/>
      <c r="AF107" s="236"/>
      <c r="AG107" s="236"/>
      <c r="AH107" s="236"/>
      <c r="AI107" s="236"/>
      <c r="AJ107" s="236"/>
      <c r="AK107" s="236"/>
      <c r="AL107" s="236"/>
      <c r="AM107" s="236"/>
      <c r="AN107" s="236"/>
      <c r="AO107" s="236"/>
      <c r="AP107" s="236"/>
      <c r="AQ107" s="236"/>
      <c r="AR107" s="236"/>
      <c r="AS107" s="236"/>
      <c r="AT107" s="236"/>
      <c r="AU107" s="236"/>
    </row>
    <row r="108" spans="1:47" ht="15.75" customHeight="1">
      <c r="A108" s="170" t="s">
        <v>53</v>
      </c>
      <c r="B108" s="171" t="s">
        <v>1928</v>
      </c>
      <c r="C108" s="170" t="s">
        <v>337</v>
      </c>
      <c r="D108" s="170" t="s">
        <v>371</v>
      </c>
      <c r="E108" s="178" t="s">
        <v>372</v>
      </c>
      <c r="F108" s="170" t="s">
        <v>1824</v>
      </c>
      <c r="G108" s="170" t="s">
        <v>58</v>
      </c>
      <c r="H108" s="170" t="s">
        <v>352</v>
      </c>
      <c r="I108" s="179">
        <v>1</v>
      </c>
      <c r="J108" s="525" t="s">
        <v>1090</v>
      </c>
      <c r="K108" s="170" t="s">
        <v>1946</v>
      </c>
      <c r="L108" s="525"/>
      <c r="M108" s="179"/>
      <c r="N108" s="179"/>
      <c r="O108" s="181"/>
      <c r="P108" s="170"/>
      <c r="Q108" s="182"/>
      <c r="R108" s="183"/>
      <c r="S108" s="179"/>
      <c r="T108" s="179"/>
      <c r="U108" s="179"/>
      <c r="V108" s="179"/>
      <c r="W108" s="179"/>
      <c r="X108" s="179"/>
      <c r="Y108" s="179"/>
      <c r="Z108" s="179"/>
      <c r="AA108" s="170"/>
      <c r="AB108" s="236"/>
      <c r="AC108" s="236"/>
      <c r="AD108" s="236"/>
      <c r="AE108" s="236"/>
      <c r="AF108" s="236"/>
      <c r="AG108" s="236"/>
      <c r="AH108" s="236"/>
      <c r="AI108" s="236"/>
      <c r="AJ108" s="236"/>
      <c r="AK108" s="236"/>
      <c r="AL108" s="236"/>
      <c r="AM108" s="236"/>
      <c r="AN108" s="236"/>
      <c r="AO108" s="236"/>
      <c r="AP108" s="236"/>
      <c r="AQ108" s="236"/>
      <c r="AR108" s="236"/>
      <c r="AS108" s="236"/>
      <c r="AT108" s="236"/>
      <c r="AU108" s="236"/>
    </row>
    <row r="109" spans="1:47" ht="15.75" customHeight="1">
      <c r="A109" s="170" t="s">
        <v>53</v>
      </c>
      <c r="B109" s="171" t="s">
        <v>1928</v>
      </c>
      <c r="C109" s="170" t="s">
        <v>337</v>
      </c>
      <c r="D109" s="170" t="s">
        <v>373</v>
      </c>
      <c r="E109" s="178" t="s">
        <v>374</v>
      </c>
      <c r="F109" s="170" t="s">
        <v>1824</v>
      </c>
      <c r="G109" s="170" t="s">
        <v>58</v>
      </c>
      <c r="H109" s="170" t="s">
        <v>352</v>
      </c>
      <c r="I109" s="179">
        <v>1</v>
      </c>
      <c r="J109" s="525" t="s">
        <v>8</v>
      </c>
      <c r="K109" s="170" t="s">
        <v>1947</v>
      </c>
      <c r="L109" s="525">
        <v>2022</v>
      </c>
      <c r="M109" s="170" t="s">
        <v>9</v>
      </c>
      <c r="N109" s="170" t="s">
        <v>1948</v>
      </c>
      <c r="O109" s="181"/>
      <c r="P109" s="170"/>
      <c r="Q109" s="182"/>
      <c r="R109" s="183"/>
      <c r="S109" s="179"/>
      <c r="T109" s="179"/>
      <c r="U109" s="179"/>
      <c r="V109" s="179"/>
      <c r="W109" s="179"/>
      <c r="X109" s="179"/>
      <c r="Y109" s="179"/>
      <c r="Z109" s="179"/>
      <c r="AA109" s="170"/>
      <c r="AB109" s="236"/>
      <c r="AC109" s="236"/>
      <c r="AD109" s="236"/>
      <c r="AE109" s="236"/>
      <c r="AF109" s="236"/>
      <c r="AG109" s="236"/>
      <c r="AH109" s="236"/>
      <c r="AI109" s="236"/>
      <c r="AJ109" s="236"/>
      <c r="AK109" s="236"/>
      <c r="AL109" s="236"/>
      <c r="AM109" s="236"/>
      <c r="AN109" s="236"/>
      <c r="AO109" s="236"/>
      <c r="AP109" s="236"/>
      <c r="AQ109" s="236"/>
      <c r="AR109" s="236"/>
      <c r="AS109" s="236"/>
      <c r="AT109" s="236"/>
      <c r="AU109" s="236"/>
    </row>
    <row r="110" spans="1:47" ht="15.75" customHeight="1">
      <c r="A110" s="170" t="s">
        <v>53</v>
      </c>
      <c r="B110" s="171" t="s">
        <v>1928</v>
      </c>
      <c r="C110" s="170" t="s">
        <v>337</v>
      </c>
      <c r="D110" s="170" t="s">
        <v>375</v>
      </c>
      <c r="E110" s="178" t="s">
        <v>376</v>
      </c>
      <c r="F110" s="170" t="s">
        <v>1824</v>
      </c>
      <c r="G110" s="170" t="s">
        <v>58</v>
      </c>
      <c r="H110" s="170" t="s">
        <v>352</v>
      </c>
      <c r="J110" s="525" t="s">
        <v>8</v>
      </c>
      <c r="K110" s="170" t="s">
        <v>1949</v>
      </c>
      <c r="L110" s="525">
        <v>2022</v>
      </c>
      <c r="M110" s="170" t="s">
        <v>9</v>
      </c>
      <c r="N110" s="170" t="s">
        <v>1948</v>
      </c>
      <c r="O110" s="181"/>
      <c r="P110" s="170"/>
      <c r="Q110" s="182"/>
      <c r="R110" s="183"/>
      <c r="S110" s="179"/>
      <c r="T110" s="179"/>
      <c r="U110" s="179"/>
      <c r="V110" s="179"/>
      <c r="W110" s="179"/>
      <c r="X110" s="179"/>
      <c r="Y110" s="179"/>
      <c r="Z110" s="179"/>
      <c r="AA110" s="170"/>
      <c r="AB110" s="236"/>
      <c r="AC110" s="236"/>
      <c r="AD110" s="236"/>
      <c r="AE110" s="236"/>
      <c r="AF110" s="236"/>
      <c r="AG110" s="236"/>
      <c r="AH110" s="236"/>
      <c r="AI110" s="236"/>
      <c r="AJ110" s="236"/>
      <c r="AK110" s="236"/>
      <c r="AL110" s="236"/>
      <c r="AM110" s="236"/>
      <c r="AN110" s="236"/>
      <c r="AO110" s="236"/>
      <c r="AP110" s="236"/>
      <c r="AQ110" s="236"/>
      <c r="AR110" s="236"/>
      <c r="AS110" s="236"/>
      <c r="AT110" s="236"/>
      <c r="AU110" s="236"/>
    </row>
    <row r="111" spans="1:47" ht="15.75" customHeight="1">
      <c r="A111" s="170" t="s">
        <v>53</v>
      </c>
      <c r="B111" s="171" t="s">
        <v>1928</v>
      </c>
      <c r="C111" s="170" t="s">
        <v>337</v>
      </c>
      <c r="D111" s="170" t="s">
        <v>377</v>
      </c>
      <c r="E111" s="178" t="s">
        <v>378</v>
      </c>
      <c r="F111" s="170" t="s">
        <v>1824</v>
      </c>
      <c r="G111" s="170" t="s">
        <v>58</v>
      </c>
      <c r="H111" s="170" t="s">
        <v>352</v>
      </c>
      <c r="I111" s="179">
        <v>1</v>
      </c>
      <c r="J111" s="525" t="s">
        <v>8</v>
      </c>
      <c r="L111" s="525">
        <v>2022</v>
      </c>
      <c r="M111" s="170" t="s">
        <v>9</v>
      </c>
      <c r="N111" s="170" t="s">
        <v>1950</v>
      </c>
      <c r="O111" s="181"/>
      <c r="P111" s="170"/>
      <c r="Q111" s="182"/>
      <c r="R111" s="183"/>
      <c r="S111" s="179"/>
      <c r="T111" s="179"/>
      <c r="U111" s="179"/>
      <c r="V111" s="179"/>
      <c r="W111" s="179"/>
      <c r="X111" s="179"/>
      <c r="Y111" s="179"/>
      <c r="Z111" s="179"/>
      <c r="AA111" s="170"/>
      <c r="AB111" s="236"/>
      <c r="AC111" s="236"/>
      <c r="AD111" s="236"/>
      <c r="AE111" s="236"/>
      <c r="AF111" s="236"/>
      <c r="AG111" s="236"/>
      <c r="AH111" s="236"/>
      <c r="AI111" s="236"/>
      <c r="AJ111" s="236"/>
      <c r="AK111" s="236"/>
      <c r="AL111" s="236"/>
      <c r="AM111" s="236"/>
      <c r="AN111" s="236"/>
      <c r="AO111" s="236"/>
      <c r="AP111" s="236"/>
      <c r="AQ111" s="236"/>
      <c r="AR111" s="236"/>
      <c r="AS111" s="236"/>
      <c r="AT111" s="236"/>
      <c r="AU111" s="236"/>
    </row>
    <row r="112" spans="1:47" ht="15.75" customHeight="1">
      <c r="A112" s="170" t="s">
        <v>53</v>
      </c>
      <c r="B112" s="171" t="s">
        <v>1928</v>
      </c>
      <c r="C112" s="170" t="s">
        <v>337</v>
      </c>
      <c r="D112" s="170" t="s">
        <v>379</v>
      </c>
      <c r="E112" s="178" t="s">
        <v>380</v>
      </c>
      <c r="F112" s="170" t="s">
        <v>1824</v>
      </c>
      <c r="G112" s="170" t="s">
        <v>58</v>
      </c>
      <c r="H112" s="170" t="s">
        <v>352</v>
      </c>
      <c r="I112" s="179">
        <v>1</v>
      </c>
      <c r="J112" s="525" t="s">
        <v>8</v>
      </c>
      <c r="K112" s="170" t="s">
        <v>1951</v>
      </c>
      <c r="L112" s="525">
        <v>2022</v>
      </c>
      <c r="M112" s="170" t="s">
        <v>9</v>
      </c>
      <c r="N112" s="170" t="s">
        <v>1950</v>
      </c>
      <c r="O112" s="181"/>
      <c r="P112" s="170"/>
      <c r="Q112" s="182"/>
      <c r="R112" s="183"/>
      <c r="S112" s="179"/>
      <c r="T112" s="179"/>
      <c r="U112" s="179"/>
      <c r="V112" s="179"/>
      <c r="W112" s="179"/>
      <c r="X112" s="179"/>
      <c r="Y112" s="179"/>
      <c r="Z112" s="179"/>
      <c r="AA112" s="170"/>
      <c r="AB112" s="236"/>
      <c r="AC112" s="236"/>
      <c r="AD112" s="236"/>
      <c r="AE112" s="236"/>
      <c r="AF112" s="236"/>
      <c r="AG112" s="236"/>
      <c r="AH112" s="236"/>
      <c r="AI112" s="236"/>
      <c r="AJ112" s="236"/>
      <c r="AK112" s="236"/>
      <c r="AL112" s="236"/>
      <c r="AM112" s="236"/>
      <c r="AN112" s="236"/>
      <c r="AO112" s="236"/>
      <c r="AP112" s="236"/>
      <c r="AQ112" s="236"/>
      <c r="AR112" s="236"/>
      <c r="AS112" s="236"/>
      <c r="AT112" s="236"/>
      <c r="AU112" s="236"/>
    </row>
    <row r="113" spans="1:47" ht="15.75" customHeight="1">
      <c r="A113" s="170" t="s">
        <v>53</v>
      </c>
      <c r="B113" s="171" t="s">
        <v>1928</v>
      </c>
      <c r="C113" s="170" t="s">
        <v>337</v>
      </c>
      <c r="D113" s="170" t="s">
        <v>381</v>
      </c>
      <c r="E113" s="178" t="s">
        <v>382</v>
      </c>
      <c r="F113" s="170" t="s">
        <v>1824</v>
      </c>
      <c r="G113" s="170" t="s">
        <v>58</v>
      </c>
      <c r="H113" s="170" t="s">
        <v>352</v>
      </c>
      <c r="I113" s="179">
        <v>1</v>
      </c>
      <c r="J113" s="525" t="s">
        <v>8</v>
      </c>
      <c r="K113" s="170" t="s">
        <v>1952</v>
      </c>
      <c r="L113" s="525">
        <v>2022</v>
      </c>
      <c r="M113" s="170" t="s">
        <v>9</v>
      </c>
      <c r="N113" s="170" t="s">
        <v>1950</v>
      </c>
      <c r="O113" s="181"/>
      <c r="P113" s="170"/>
      <c r="Q113" s="182"/>
      <c r="R113" s="183"/>
      <c r="S113" s="179"/>
      <c r="T113" s="179"/>
      <c r="U113" s="179"/>
      <c r="V113" s="179"/>
      <c r="W113" s="179"/>
      <c r="X113" s="179"/>
      <c r="Y113" s="179"/>
      <c r="Z113" s="179"/>
      <c r="AA113" s="170"/>
      <c r="AB113" s="236"/>
      <c r="AC113" s="236"/>
      <c r="AD113" s="236"/>
      <c r="AE113" s="236"/>
      <c r="AF113" s="236"/>
      <c r="AG113" s="236"/>
      <c r="AH113" s="236"/>
      <c r="AI113" s="236"/>
      <c r="AJ113" s="236"/>
      <c r="AK113" s="236"/>
      <c r="AL113" s="236"/>
      <c r="AM113" s="236"/>
      <c r="AN113" s="236"/>
      <c r="AO113" s="236"/>
      <c r="AP113" s="236"/>
      <c r="AQ113" s="236"/>
      <c r="AR113" s="236"/>
      <c r="AS113" s="236"/>
      <c r="AT113" s="236"/>
      <c r="AU113" s="236"/>
    </row>
    <row r="114" spans="1:47" ht="15.75" customHeight="1">
      <c r="A114" s="170" t="s">
        <v>53</v>
      </c>
      <c r="B114" s="171" t="s">
        <v>1928</v>
      </c>
      <c r="C114" s="170" t="s">
        <v>337</v>
      </c>
      <c r="D114" s="170" t="s">
        <v>383</v>
      </c>
      <c r="E114" s="178" t="s">
        <v>384</v>
      </c>
      <c r="F114" s="170" t="s">
        <v>1824</v>
      </c>
      <c r="G114" s="170" t="s">
        <v>58</v>
      </c>
      <c r="H114" s="170" t="s">
        <v>352</v>
      </c>
      <c r="I114" s="179">
        <v>1</v>
      </c>
      <c r="J114" s="525" t="s">
        <v>8</v>
      </c>
      <c r="K114" s="170" t="s">
        <v>1953</v>
      </c>
      <c r="L114" s="525">
        <v>2022</v>
      </c>
      <c r="M114" s="170" t="s">
        <v>10</v>
      </c>
      <c r="N114" s="170" t="s">
        <v>1954</v>
      </c>
      <c r="O114" s="181"/>
      <c r="P114" s="170"/>
      <c r="Q114" s="182"/>
      <c r="R114" s="183"/>
      <c r="S114" s="179"/>
      <c r="T114" s="179"/>
      <c r="U114" s="179"/>
      <c r="V114" s="179"/>
      <c r="W114" s="179"/>
      <c r="X114" s="179"/>
      <c r="Y114" s="179"/>
      <c r="Z114" s="179"/>
      <c r="AA114" s="170"/>
      <c r="AB114" s="236"/>
      <c r="AC114" s="236"/>
      <c r="AD114" s="236"/>
      <c r="AE114" s="236"/>
      <c r="AF114" s="236"/>
      <c r="AG114" s="236"/>
      <c r="AH114" s="236"/>
      <c r="AI114" s="236"/>
      <c r="AJ114" s="236"/>
      <c r="AK114" s="236"/>
      <c r="AL114" s="236"/>
      <c r="AM114" s="236"/>
      <c r="AN114" s="236"/>
      <c r="AO114" s="236"/>
      <c r="AP114" s="236"/>
      <c r="AQ114" s="236"/>
      <c r="AR114" s="236"/>
      <c r="AS114" s="236"/>
      <c r="AT114" s="236"/>
      <c r="AU114" s="236"/>
    </row>
    <row r="115" spans="1:47" ht="15.75" customHeight="1">
      <c r="A115" s="170" t="s">
        <v>53</v>
      </c>
      <c r="B115" s="171" t="s">
        <v>1928</v>
      </c>
      <c r="C115" s="170" t="s">
        <v>337</v>
      </c>
      <c r="D115" s="170" t="s">
        <v>385</v>
      </c>
      <c r="E115" s="178" t="s">
        <v>386</v>
      </c>
      <c r="F115" s="170" t="s">
        <v>1824</v>
      </c>
      <c r="G115" s="170" t="s">
        <v>58</v>
      </c>
      <c r="H115" s="170" t="s">
        <v>352</v>
      </c>
      <c r="I115" s="179">
        <v>1</v>
      </c>
      <c r="J115" s="525" t="s">
        <v>8</v>
      </c>
      <c r="K115" s="170" t="s">
        <v>1955</v>
      </c>
      <c r="L115" s="525">
        <v>2022</v>
      </c>
      <c r="M115" s="170" t="s">
        <v>10</v>
      </c>
      <c r="N115" s="180" t="s">
        <v>1956</v>
      </c>
      <c r="O115" s="181"/>
      <c r="P115" s="170"/>
      <c r="Q115" s="182"/>
      <c r="R115" s="183"/>
      <c r="S115" s="179"/>
      <c r="T115" s="179"/>
      <c r="U115" s="179"/>
      <c r="V115" s="179"/>
      <c r="W115" s="179"/>
      <c r="X115" s="179"/>
      <c r="Y115" s="179"/>
      <c r="Z115" s="179"/>
      <c r="AA115" s="170"/>
      <c r="AB115" s="236"/>
      <c r="AC115" s="236"/>
      <c r="AD115" s="236"/>
      <c r="AE115" s="236"/>
      <c r="AF115" s="236"/>
      <c r="AG115" s="236"/>
      <c r="AH115" s="236"/>
      <c r="AI115" s="236"/>
      <c r="AJ115" s="236"/>
      <c r="AK115" s="236"/>
      <c r="AL115" s="236"/>
      <c r="AM115" s="236"/>
      <c r="AN115" s="236"/>
      <c r="AO115" s="236"/>
      <c r="AP115" s="236"/>
      <c r="AQ115" s="236"/>
      <c r="AR115" s="236"/>
      <c r="AS115" s="236"/>
      <c r="AT115" s="236"/>
      <c r="AU115" s="236"/>
    </row>
    <row r="116" spans="1:47" ht="15.75" customHeight="1">
      <c r="A116" s="170" t="s">
        <v>53</v>
      </c>
      <c r="B116" s="171" t="s">
        <v>1928</v>
      </c>
      <c r="C116" s="170" t="s">
        <v>337</v>
      </c>
      <c r="D116" s="170" t="s">
        <v>387</v>
      </c>
      <c r="E116" s="178" t="s">
        <v>388</v>
      </c>
      <c r="F116" s="170" t="s">
        <v>1824</v>
      </c>
      <c r="G116" s="170" t="s">
        <v>58</v>
      </c>
      <c r="H116" s="170" t="s">
        <v>352</v>
      </c>
      <c r="I116" s="179">
        <v>1</v>
      </c>
      <c r="J116" s="525" t="s">
        <v>8</v>
      </c>
      <c r="K116" s="170" t="s">
        <v>1957</v>
      </c>
      <c r="L116" s="525">
        <v>2022</v>
      </c>
      <c r="M116" s="170" t="s">
        <v>9</v>
      </c>
      <c r="N116" s="170" t="s">
        <v>1958</v>
      </c>
      <c r="O116" s="181"/>
      <c r="P116" s="170"/>
      <c r="Q116" s="182"/>
      <c r="R116" s="183"/>
      <c r="S116" s="179"/>
      <c r="T116" s="179"/>
      <c r="U116" s="179"/>
      <c r="V116" s="179"/>
      <c r="W116" s="179"/>
      <c r="X116" s="179"/>
      <c r="Y116" s="179"/>
      <c r="Z116" s="179"/>
      <c r="AA116" s="170"/>
      <c r="AB116" s="236"/>
      <c r="AC116" s="236"/>
      <c r="AD116" s="236"/>
      <c r="AE116" s="236"/>
      <c r="AF116" s="236"/>
      <c r="AG116" s="236"/>
      <c r="AH116" s="236"/>
      <c r="AI116" s="236"/>
      <c r="AJ116" s="236"/>
      <c r="AK116" s="236"/>
      <c r="AL116" s="236"/>
      <c r="AM116" s="236"/>
      <c r="AN116" s="236"/>
      <c r="AO116" s="236"/>
      <c r="AP116" s="236"/>
      <c r="AQ116" s="236"/>
      <c r="AR116" s="236"/>
      <c r="AS116" s="236"/>
      <c r="AT116" s="236"/>
      <c r="AU116" s="236"/>
    </row>
    <row r="117" spans="1:47" ht="15.75" customHeight="1">
      <c r="A117" s="170" t="s">
        <v>53</v>
      </c>
      <c r="B117" s="171" t="s">
        <v>1928</v>
      </c>
      <c r="C117" s="170" t="s">
        <v>337</v>
      </c>
      <c r="D117" s="170" t="s">
        <v>389</v>
      </c>
      <c r="E117" s="178" t="s">
        <v>390</v>
      </c>
      <c r="F117" s="170" t="s">
        <v>1824</v>
      </c>
      <c r="G117" s="170" t="s">
        <v>58</v>
      </c>
      <c r="H117" s="170" t="s">
        <v>352</v>
      </c>
      <c r="I117" s="179">
        <v>1</v>
      </c>
      <c r="J117" s="525" t="s">
        <v>1191</v>
      </c>
      <c r="K117" s="170" t="s">
        <v>1959</v>
      </c>
      <c r="L117" s="525">
        <v>2023</v>
      </c>
      <c r="M117" s="170" t="s">
        <v>9</v>
      </c>
      <c r="N117" s="170" t="s">
        <v>1960</v>
      </c>
      <c r="O117" s="181"/>
      <c r="P117" s="170"/>
      <c r="Q117" s="182"/>
      <c r="R117" s="183"/>
      <c r="S117" s="179"/>
      <c r="T117" s="179"/>
      <c r="U117" s="179"/>
      <c r="V117" s="179"/>
      <c r="W117" s="179"/>
      <c r="X117" s="179"/>
      <c r="Y117" s="179"/>
      <c r="Z117" s="179"/>
      <c r="AA117" s="170"/>
      <c r="AB117" s="236"/>
      <c r="AC117" s="236"/>
      <c r="AD117" s="236"/>
      <c r="AE117" s="236"/>
      <c r="AF117" s="236"/>
      <c r="AG117" s="236"/>
      <c r="AH117" s="236"/>
      <c r="AI117" s="236"/>
      <c r="AJ117" s="236"/>
      <c r="AK117" s="236"/>
      <c r="AL117" s="236"/>
      <c r="AM117" s="236"/>
      <c r="AN117" s="236"/>
      <c r="AO117" s="236"/>
      <c r="AP117" s="236"/>
      <c r="AQ117" s="236"/>
      <c r="AR117" s="236"/>
      <c r="AS117" s="236"/>
      <c r="AT117" s="236"/>
      <c r="AU117" s="236"/>
    </row>
    <row r="118" spans="1:47" ht="15.75" customHeight="1">
      <c r="A118" s="170" t="s">
        <v>53</v>
      </c>
      <c r="B118" s="171" t="s">
        <v>1928</v>
      </c>
      <c r="C118" s="170" t="s">
        <v>337</v>
      </c>
      <c r="D118" s="170" t="s">
        <v>391</v>
      </c>
      <c r="E118" s="178" t="s">
        <v>392</v>
      </c>
      <c r="F118" s="170" t="s">
        <v>1824</v>
      </c>
      <c r="G118" s="170" t="s">
        <v>58</v>
      </c>
      <c r="H118" s="170" t="s">
        <v>352</v>
      </c>
      <c r="I118" s="179">
        <v>1</v>
      </c>
      <c r="J118" s="525" t="s">
        <v>8</v>
      </c>
      <c r="K118" s="179"/>
      <c r="L118" s="525">
        <v>2022</v>
      </c>
      <c r="M118" s="170" t="s">
        <v>10</v>
      </c>
      <c r="N118" s="170" t="s">
        <v>1961</v>
      </c>
      <c r="O118" s="181"/>
      <c r="P118" s="170"/>
      <c r="Q118" s="182"/>
      <c r="R118" s="183"/>
      <c r="S118" s="179"/>
      <c r="T118" s="179"/>
      <c r="U118" s="179"/>
      <c r="V118" s="179"/>
      <c r="W118" s="179"/>
      <c r="X118" s="179"/>
      <c r="Y118" s="179"/>
      <c r="Z118" s="179"/>
      <c r="AA118" s="170"/>
      <c r="AB118" s="236"/>
      <c r="AC118" s="236"/>
      <c r="AD118" s="236"/>
      <c r="AE118" s="236"/>
      <c r="AF118" s="236"/>
      <c r="AG118" s="236"/>
      <c r="AH118" s="236"/>
      <c r="AI118" s="236"/>
      <c r="AJ118" s="236"/>
      <c r="AK118" s="236"/>
      <c r="AL118" s="236"/>
      <c r="AM118" s="236"/>
      <c r="AN118" s="236"/>
      <c r="AO118" s="236"/>
      <c r="AP118" s="236"/>
      <c r="AQ118" s="236"/>
      <c r="AR118" s="236"/>
      <c r="AS118" s="236"/>
      <c r="AT118" s="236"/>
      <c r="AU118" s="236"/>
    </row>
    <row r="119" spans="1:47" ht="15.75" customHeight="1">
      <c r="A119" s="170" t="s">
        <v>53</v>
      </c>
      <c r="B119" s="171" t="s">
        <v>1928</v>
      </c>
      <c r="C119" s="170" t="s">
        <v>337</v>
      </c>
      <c r="D119" s="170" t="s">
        <v>393</v>
      </c>
      <c r="E119" s="178" t="s">
        <v>394</v>
      </c>
      <c r="F119" s="170" t="s">
        <v>1824</v>
      </c>
      <c r="G119" s="170" t="s">
        <v>58</v>
      </c>
      <c r="H119" s="170" t="s">
        <v>352</v>
      </c>
      <c r="I119" s="179">
        <v>1</v>
      </c>
      <c r="J119" s="525" t="s">
        <v>8</v>
      </c>
      <c r="K119" s="170" t="s">
        <v>1962</v>
      </c>
      <c r="L119" s="525">
        <v>2022</v>
      </c>
      <c r="M119" s="170" t="s">
        <v>9</v>
      </c>
      <c r="N119" s="170" t="s">
        <v>1963</v>
      </c>
      <c r="O119" s="181"/>
      <c r="P119" s="170"/>
      <c r="Q119" s="182"/>
      <c r="R119" s="183"/>
      <c r="S119" s="179"/>
      <c r="T119" s="179"/>
      <c r="U119" s="179"/>
      <c r="V119" s="179"/>
      <c r="W119" s="179"/>
      <c r="X119" s="179"/>
      <c r="Y119" s="179"/>
      <c r="Z119" s="179"/>
      <c r="AA119" s="170"/>
      <c r="AB119" s="236"/>
      <c r="AC119" s="236"/>
      <c r="AD119" s="236"/>
      <c r="AE119" s="236"/>
      <c r="AF119" s="236"/>
      <c r="AG119" s="236"/>
      <c r="AH119" s="236"/>
      <c r="AI119" s="236"/>
      <c r="AJ119" s="236"/>
      <c r="AK119" s="236"/>
      <c r="AL119" s="236"/>
      <c r="AM119" s="236"/>
      <c r="AN119" s="236"/>
      <c r="AO119" s="236"/>
      <c r="AP119" s="236"/>
      <c r="AQ119" s="236"/>
      <c r="AR119" s="236"/>
      <c r="AS119" s="236"/>
      <c r="AT119" s="236"/>
      <c r="AU119" s="236"/>
    </row>
    <row r="120" spans="1:47" ht="15.75" customHeight="1">
      <c r="A120" s="170" t="s">
        <v>53</v>
      </c>
      <c r="B120" s="171" t="s">
        <v>1928</v>
      </c>
      <c r="C120" s="170" t="s">
        <v>337</v>
      </c>
      <c r="D120" s="170" t="s">
        <v>395</v>
      </c>
      <c r="E120" s="178" t="s">
        <v>396</v>
      </c>
      <c r="F120" s="170" t="s">
        <v>1824</v>
      </c>
      <c r="G120" s="170" t="s">
        <v>58</v>
      </c>
      <c r="H120" s="170" t="s">
        <v>352</v>
      </c>
      <c r="I120" s="179">
        <v>1</v>
      </c>
      <c r="J120" s="525" t="s">
        <v>8</v>
      </c>
      <c r="K120" s="170" t="s">
        <v>1964</v>
      </c>
      <c r="L120" s="525">
        <v>2022</v>
      </c>
      <c r="M120" s="170" t="s">
        <v>9</v>
      </c>
      <c r="N120" s="170" t="s">
        <v>1965</v>
      </c>
      <c r="O120" s="181"/>
      <c r="P120" s="170"/>
      <c r="Q120" s="182"/>
      <c r="R120" s="183"/>
      <c r="S120" s="179"/>
      <c r="T120" s="179"/>
      <c r="U120" s="179"/>
      <c r="V120" s="179"/>
      <c r="W120" s="179"/>
      <c r="X120" s="179"/>
      <c r="Y120" s="179"/>
      <c r="Z120" s="179"/>
      <c r="AA120" s="170"/>
      <c r="AB120" s="236"/>
      <c r="AC120" s="236"/>
      <c r="AD120" s="236"/>
      <c r="AE120" s="236"/>
      <c r="AF120" s="236"/>
      <c r="AG120" s="236"/>
      <c r="AH120" s="236"/>
      <c r="AI120" s="236"/>
      <c r="AJ120" s="236"/>
      <c r="AK120" s="236"/>
      <c r="AL120" s="236"/>
      <c r="AM120" s="236"/>
      <c r="AN120" s="236"/>
      <c r="AO120" s="236"/>
      <c r="AP120" s="236"/>
      <c r="AQ120" s="236"/>
      <c r="AR120" s="236"/>
      <c r="AS120" s="236"/>
      <c r="AT120" s="236"/>
      <c r="AU120" s="236"/>
    </row>
    <row r="121" spans="1:47" ht="15.75" customHeight="1">
      <c r="A121" s="170" t="s">
        <v>53</v>
      </c>
      <c r="B121" s="171" t="s">
        <v>1928</v>
      </c>
      <c r="C121" s="170" t="s">
        <v>337</v>
      </c>
      <c r="D121" s="170" t="s">
        <v>397</v>
      </c>
      <c r="E121" s="178" t="s">
        <v>398</v>
      </c>
      <c r="F121" s="170" t="s">
        <v>1824</v>
      </c>
      <c r="G121" s="170" t="s">
        <v>58</v>
      </c>
      <c r="H121" s="170" t="s">
        <v>352</v>
      </c>
      <c r="I121" s="179">
        <v>1</v>
      </c>
      <c r="J121" s="525" t="s">
        <v>8</v>
      </c>
      <c r="K121" s="179"/>
      <c r="L121" s="525">
        <v>2022</v>
      </c>
      <c r="M121" s="170" t="s">
        <v>9</v>
      </c>
      <c r="N121" s="170" t="s">
        <v>1966</v>
      </c>
      <c r="O121" s="181"/>
      <c r="P121" s="170"/>
      <c r="Q121" s="182"/>
      <c r="R121" s="183"/>
      <c r="S121" s="179"/>
      <c r="T121" s="179"/>
      <c r="U121" s="179"/>
      <c r="V121" s="179"/>
      <c r="W121" s="179"/>
      <c r="X121" s="179"/>
      <c r="Y121" s="179"/>
      <c r="Z121" s="179"/>
      <c r="AA121" s="170"/>
      <c r="AB121" s="236"/>
      <c r="AC121" s="236"/>
      <c r="AD121" s="236"/>
      <c r="AE121" s="236"/>
      <c r="AF121" s="236"/>
      <c r="AG121" s="236"/>
      <c r="AH121" s="236"/>
      <c r="AI121" s="236"/>
      <c r="AJ121" s="236"/>
      <c r="AK121" s="236"/>
      <c r="AL121" s="236"/>
      <c r="AM121" s="236"/>
      <c r="AN121" s="236"/>
      <c r="AO121" s="236"/>
      <c r="AP121" s="236"/>
      <c r="AQ121" s="236"/>
      <c r="AR121" s="236"/>
      <c r="AS121" s="236"/>
      <c r="AT121" s="236"/>
      <c r="AU121" s="236"/>
    </row>
    <row r="122" spans="1:47" ht="15.75" customHeight="1">
      <c r="A122" s="170" t="s">
        <v>53</v>
      </c>
      <c r="B122" s="171" t="s">
        <v>1928</v>
      </c>
      <c r="C122" s="170" t="s">
        <v>337</v>
      </c>
      <c r="D122" s="170" t="s">
        <v>399</v>
      </c>
      <c r="E122" s="178" t="s">
        <v>400</v>
      </c>
      <c r="F122" s="170" t="s">
        <v>1816</v>
      </c>
      <c r="G122" s="170" t="s">
        <v>58</v>
      </c>
      <c r="H122" s="170" t="s">
        <v>352</v>
      </c>
      <c r="I122" s="179">
        <v>1</v>
      </c>
      <c r="J122" s="525" t="s">
        <v>8</v>
      </c>
      <c r="K122" s="170" t="s">
        <v>1967</v>
      </c>
      <c r="L122" s="525">
        <v>2022</v>
      </c>
      <c r="M122" s="170" t="s">
        <v>10</v>
      </c>
      <c r="N122" s="170" t="s">
        <v>1968</v>
      </c>
      <c r="O122" s="181"/>
      <c r="P122" s="170"/>
      <c r="Q122" s="182"/>
      <c r="R122" s="183"/>
      <c r="S122" s="179"/>
      <c r="T122" s="179"/>
      <c r="U122" s="179"/>
      <c r="V122" s="179"/>
      <c r="W122" s="179"/>
      <c r="X122" s="179"/>
      <c r="Y122" s="179"/>
      <c r="Z122" s="179"/>
      <c r="AA122" s="170"/>
      <c r="AB122" s="236"/>
      <c r="AC122" s="236"/>
      <c r="AD122" s="236"/>
      <c r="AE122" s="236"/>
      <c r="AF122" s="236"/>
      <c r="AG122" s="236"/>
      <c r="AH122" s="236"/>
      <c r="AI122" s="236"/>
      <c r="AJ122" s="236"/>
      <c r="AK122" s="236"/>
      <c r="AL122" s="236"/>
      <c r="AM122" s="236"/>
      <c r="AN122" s="236"/>
      <c r="AO122" s="236"/>
      <c r="AP122" s="236"/>
      <c r="AQ122" s="236"/>
      <c r="AR122" s="236"/>
      <c r="AS122" s="236"/>
      <c r="AT122" s="236"/>
      <c r="AU122" s="236"/>
    </row>
    <row r="123" spans="1:47" ht="15.75" customHeight="1">
      <c r="A123" s="170" t="s">
        <v>53</v>
      </c>
      <c r="B123" s="171" t="s">
        <v>1928</v>
      </c>
      <c r="C123" s="170" t="s">
        <v>337</v>
      </c>
      <c r="D123" s="170" t="s">
        <v>401</v>
      </c>
      <c r="E123" s="178" t="s">
        <v>402</v>
      </c>
      <c r="F123" s="170" t="s">
        <v>1824</v>
      </c>
      <c r="G123" s="170" t="s">
        <v>58</v>
      </c>
      <c r="H123" s="170" t="s">
        <v>352</v>
      </c>
      <c r="I123" s="179">
        <v>1</v>
      </c>
      <c r="J123" s="525" t="s">
        <v>8</v>
      </c>
      <c r="K123" s="179"/>
      <c r="L123" s="525">
        <v>2022</v>
      </c>
      <c r="M123" s="170" t="s">
        <v>9</v>
      </c>
      <c r="N123" s="185" t="s">
        <v>1969</v>
      </c>
      <c r="O123" s="170"/>
      <c r="P123" s="170" t="s">
        <v>1970</v>
      </c>
      <c r="Q123" s="182"/>
      <c r="R123" s="183"/>
      <c r="S123" s="179"/>
      <c r="T123" s="179"/>
      <c r="U123" s="179"/>
      <c r="V123" s="179"/>
      <c r="W123" s="179"/>
      <c r="X123" s="179"/>
      <c r="Y123" s="179"/>
      <c r="Z123" s="179"/>
      <c r="AA123" s="170"/>
      <c r="AB123" s="236"/>
      <c r="AC123" s="236"/>
      <c r="AD123" s="236"/>
      <c r="AE123" s="236"/>
      <c r="AF123" s="236"/>
      <c r="AG123" s="236"/>
      <c r="AH123" s="236"/>
      <c r="AI123" s="236"/>
      <c r="AJ123" s="236"/>
      <c r="AK123" s="236"/>
      <c r="AL123" s="236"/>
      <c r="AM123" s="236"/>
      <c r="AN123" s="236"/>
      <c r="AO123" s="236"/>
      <c r="AP123" s="236"/>
      <c r="AQ123" s="236"/>
      <c r="AR123" s="236"/>
      <c r="AS123" s="236"/>
      <c r="AT123" s="236"/>
      <c r="AU123" s="236"/>
    </row>
    <row r="124" spans="1:47" ht="15.75" customHeight="1">
      <c r="A124" s="170" t="s">
        <v>53</v>
      </c>
      <c r="B124" s="171" t="s">
        <v>1928</v>
      </c>
      <c r="C124" s="170" t="s">
        <v>337</v>
      </c>
      <c r="D124" s="170" t="s">
        <v>403</v>
      </c>
      <c r="E124" s="178" t="s">
        <v>404</v>
      </c>
      <c r="F124" s="170" t="s">
        <v>1824</v>
      </c>
      <c r="G124" s="170" t="s">
        <v>58</v>
      </c>
      <c r="H124" s="170" t="s">
        <v>352</v>
      </c>
      <c r="I124" s="179">
        <v>1</v>
      </c>
      <c r="J124" s="525" t="s">
        <v>8</v>
      </c>
      <c r="K124" s="170" t="s">
        <v>1971</v>
      </c>
      <c r="L124" s="525">
        <v>2022</v>
      </c>
      <c r="M124" s="170" t="s">
        <v>9</v>
      </c>
      <c r="N124" s="170" t="s">
        <v>1972</v>
      </c>
      <c r="O124" s="181"/>
      <c r="P124" s="170" t="s">
        <v>1973</v>
      </c>
      <c r="Q124" s="182"/>
      <c r="R124" s="183"/>
      <c r="S124" s="179"/>
      <c r="T124" s="179"/>
      <c r="U124" s="179"/>
      <c r="V124" s="179"/>
      <c r="W124" s="179"/>
      <c r="X124" s="179"/>
      <c r="Y124" s="179"/>
      <c r="Z124" s="179"/>
      <c r="AA124" s="170"/>
      <c r="AB124" s="236"/>
      <c r="AC124" s="236"/>
      <c r="AD124" s="236"/>
      <c r="AE124" s="236"/>
      <c r="AF124" s="236"/>
      <c r="AG124" s="236"/>
      <c r="AH124" s="236"/>
      <c r="AI124" s="236"/>
      <c r="AJ124" s="236"/>
      <c r="AK124" s="236"/>
      <c r="AL124" s="236"/>
      <c r="AM124" s="236"/>
      <c r="AN124" s="236"/>
      <c r="AO124" s="236"/>
      <c r="AP124" s="236"/>
      <c r="AQ124" s="236"/>
      <c r="AR124" s="236"/>
      <c r="AS124" s="236"/>
      <c r="AT124" s="236"/>
      <c r="AU124" s="236"/>
    </row>
    <row r="125" spans="1:47" ht="15.75" customHeight="1">
      <c r="A125" s="170" t="s">
        <v>53</v>
      </c>
      <c r="B125" s="171" t="s">
        <v>1928</v>
      </c>
      <c r="C125" s="170" t="s">
        <v>337</v>
      </c>
      <c r="D125" s="170" t="s">
        <v>405</v>
      </c>
      <c r="E125" s="178" t="s">
        <v>406</v>
      </c>
      <c r="F125" s="170" t="s">
        <v>1824</v>
      </c>
      <c r="G125" s="170" t="s">
        <v>58</v>
      </c>
      <c r="H125" s="170" t="s">
        <v>352</v>
      </c>
      <c r="I125" s="179">
        <v>1</v>
      </c>
      <c r="J125" s="525" t="s">
        <v>8</v>
      </c>
      <c r="K125" s="170" t="s">
        <v>1974</v>
      </c>
      <c r="L125" s="525">
        <v>2022</v>
      </c>
      <c r="M125" s="170" t="s">
        <v>9</v>
      </c>
      <c r="N125" s="170" t="s">
        <v>1975</v>
      </c>
      <c r="O125" s="181"/>
      <c r="P125" s="170"/>
      <c r="Q125" s="182"/>
      <c r="R125" s="183"/>
      <c r="S125" s="179"/>
      <c r="T125" s="179"/>
      <c r="U125" s="179"/>
      <c r="V125" s="179"/>
      <c r="W125" s="179"/>
      <c r="X125" s="179"/>
      <c r="Y125" s="179"/>
      <c r="Z125" s="179"/>
      <c r="AA125" s="170"/>
      <c r="AB125" s="236"/>
      <c r="AC125" s="236"/>
      <c r="AD125" s="236"/>
      <c r="AE125" s="236"/>
      <c r="AF125" s="236"/>
      <c r="AG125" s="236"/>
      <c r="AH125" s="236"/>
      <c r="AI125" s="236"/>
      <c r="AJ125" s="236"/>
      <c r="AK125" s="236"/>
      <c r="AL125" s="236"/>
      <c r="AM125" s="236"/>
      <c r="AN125" s="236"/>
      <c r="AO125" s="236"/>
      <c r="AP125" s="236"/>
      <c r="AQ125" s="236"/>
      <c r="AR125" s="236"/>
      <c r="AS125" s="236"/>
      <c r="AT125" s="236"/>
      <c r="AU125" s="236"/>
    </row>
    <row r="126" spans="1:47" ht="15.75" customHeight="1">
      <c r="A126" s="170" t="s">
        <v>53</v>
      </c>
      <c r="B126" s="171" t="s">
        <v>1928</v>
      </c>
      <c r="C126" s="170" t="s">
        <v>337</v>
      </c>
      <c r="D126" s="170" t="s">
        <v>407</v>
      </c>
      <c r="E126" s="178" t="s">
        <v>408</v>
      </c>
      <c r="F126" s="170" t="s">
        <v>1824</v>
      </c>
      <c r="G126" s="170" t="s">
        <v>58</v>
      </c>
      <c r="H126" s="170" t="s">
        <v>352</v>
      </c>
      <c r="I126" s="179">
        <v>1</v>
      </c>
      <c r="J126" s="525" t="s">
        <v>8</v>
      </c>
      <c r="K126" s="170" t="s">
        <v>1976</v>
      </c>
      <c r="L126" s="525">
        <v>2022</v>
      </c>
      <c r="M126" s="170" t="s">
        <v>10</v>
      </c>
      <c r="N126" s="170" t="s">
        <v>1977</v>
      </c>
      <c r="O126" s="181"/>
      <c r="P126" s="170" t="s">
        <v>1978</v>
      </c>
      <c r="Q126" s="182"/>
      <c r="R126" s="183"/>
      <c r="S126" s="179"/>
      <c r="T126" s="179"/>
      <c r="U126" s="179"/>
      <c r="V126" s="179"/>
      <c r="W126" s="179"/>
      <c r="X126" s="179"/>
      <c r="Y126" s="179"/>
      <c r="Z126" s="179"/>
      <c r="AA126" s="170"/>
      <c r="AB126" s="236"/>
      <c r="AC126" s="236"/>
      <c r="AD126" s="236"/>
      <c r="AE126" s="236"/>
      <c r="AF126" s="236"/>
      <c r="AG126" s="236"/>
      <c r="AH126" s="236"/>
      <c r="AI126" s="236"/>
      <c r="AJ126" s="236"/>
      <c r="AK126" s="236"/>
      <c r="AL126" s="236"/>
      <c r="AM126" s="236"/>
      <c r="AN126" s="236"/>
      <c r="AO126" s="236"/>
      <c r="AP126" s="236"/>
      <c r="AQ126" s="236"/>
      <c r="AR126" s="236"/>
      <c r="AS126" s="236"/>
      <c r="AT126" s="236"/>
      <c r="AU126" s="236"/>
    </row>
    <row r="127" spans="1:47" ht="15.75" customHeight="1">
      <c r="A127" s="170" t="s">
        <v>53</v>
      </c>
      <c r="B127" s="171" t="s">
        <v>1928</v>
      </c>
      <c r="C127" s="170" t="s">
        <v>337</v>
      </c>
      <c r="D127" s="170" t="s">
        <v>409</v>
      </c>
      <c r="E127" s="178" t="s">
        <v>410</v>
      </c>
      <c r="F127" s="170" t="s">
        <v>1824</v>
      </c>
      <c r="G127" s="170" t="s">
        <v>58</v>
      </c>
      <c r="H127" s="170" t="s">
        <v>352</v>
      </c>
      <c r="I127" s="179">
        <v>1</v>
      </c>
      <c r="J127" s="525" t="s">
        <v>8</v>
      </c>
      <c r="K127" s="170" t="s">
        <v>1976</v>
      </c>
      <c r="L127" s="525">
        <v>2022</v>
      </c>
      <c r="M127" s="170" t="s">
        <v>10</v>
      </c>
      <c r="N127" s="170" t="s">
        <v>1979</v>
      </c>
      <c r="O127" s="181"/>
      <c r="P127" s="170"/>
      <c r="Q127" s="182"/>
      <c r="R127" s="183"/>
      <c r="S127" s="179"/>
      <c r="T127" s="179"/>
      <c r="U127" s="179"/>
      <c r="V127" s="179"/>
      <c r="W127" s="179"/>
      <c r="X127" s="179"/>
      <c r="Y127" s="179"/>
      <c r="Z127" s="179"/>
      <c r="AA127" s="170"/>
      <c r="AB127" s="236"/>
      <c r="AC127" s="236"/>
      <c r="AD127" s="236"/>
      <c r="AE127" s="236"/>
      <c r="AF127" s="236"/>
      <c r="AG127" s="236"/>
      <c r="AH127" s="236"/>
      <c r="AI127" s="236"/>
      <c r="AJ127" s="236"/>
      <c r="AK127" s="236"/>
      <c r="AL127" s="236"/>
      <c r="AM127" s="236"/>
      <c r="AN127" s="236"/>
      <c r="AO127" s="236"/>
      <c r="AP127" s="236"/>
      <c r="AQ127" s="236"/>
      <c r="AR127" s="236"/>
      <c r="AS127" s="236"/>
      <c r="AT127" s="236"/>
      <c r="AU127" s="236"/>
    </row>
    <row r="128" spans="1:47" ht="15.75" customHeight="1">
      <c r="A128" s="170" t="s">
        <v>53</v>
      </c>
      <c r="B128" s="171" t="s">
        <v>1928</v>
      </c>
      <c r="C128" s="170" t="s">
        <v>337</v>
      </c>
      <c r="D128" s="170" t="s">
        <v>411</v>
      </c>
      <c r="E128" s="178" t="s">
        <v>412</v>
      </c>
      <c r="F128" s="170" t="s">
        <v>1824</v>
      </c>
      <c r="G128" s="170" t="s">
        <v>58</v>
      </c>
      <c r="H128" s="170" t="s">
        <v>352</v>
      </c>
      <c r="I128" s="179">
        <v>1</v>
      </c>
      <c r="J128" s="525" t="s">
        <v>8</v>
      </c>
      <c r="K128" s="179"/>
      <c r="L128" s="525">
        <v>2022</v>
      </c>
      <c r="M128" s="170" t="s">
        <v>10</v>
      </c>
      <c r="N128" s="170" t="s">
        <v>1980</v>
      </c>
      <c r="O128" s="181"/>
      <c r="P128" s="170"/>
      <c r="Q128" s="182"/>
      <c r="R128" s="183"/>
      <c r="S128" s="179"/>
      <c r="T128" s="179"/>
      <c r="U128" s="179"/>
      <c r="V128" s="179"/>
      <c r="W128" s="179"/>
      <c r="X128" s="179"/>
      <c r="Y128" s="179"/>
      <c r="Z128" s="179"/>
      <c r="AA128" s="170"/>
      <c r="AB128" s="236"/>
      <c r="AC128" s="236"/>
      <c r="AD128" s="236"/>
      <c r="AE128" s="236"/>
      <c r="AF128" s="236"/>
      <c r="AG128" s="236"/>
      <c r="AH128" s="236"/>
      <c r="AI128" s="236"/>
      <c r="AJ128" s="236"/>
      <c r="AK128" s="236"/>
      <c r="AL128" s="236"/>
      <c r="AM128" s="236"/>
      <c r="AN128" s="236"/>
      <c r="AO128" s="236"/>
      <c r="AP128" s="236"/>
      <c r="AQ128" s="236"/>
      <c r="AR128" s="236"/>
      <c r="AS128" s="236"/>
      <c r="AT128" s="236"/>
      <c r="AU128" s="236"/>
    </row>
    <row r="129" spans="1:47" ht="345.75" customHeight="1">
      <c r="A129" s="170" t="s">
        <v>53</v>
      </c>
      <c r="B129" s="171" t="s">
        <v>1928</v>
      </c>
      <c r="C129" s="170" t="s">
        <v>413</v>
      </c>
      <c r="D129" s="170" t="s">
        <v>414</v>
      </c>
      <c r="E129" s="170" t="s">
        <v>1981</v>
      </c>
      <c r="F129" s="170" t="s">
        <v>1814</v>
      </c>
      <c r="G129" s="170" t="s">
        <v>62</v>
      </c>
      <c r="H129" s="170" t="s">
        <v>416</v>
      </c>
      <c r="I129" s="170">
        <v>6</v>
      </c>
      <c r="J129" s="525" t="s">
        <v>1191</v>
      </c>
      <c r="K129" s="170" t="s">
        <v>1982</v>
      </c>
      <c r="L129" s="525">
        <v>2023</v>
      </c>
      <c r="M129" s="170" t="s">
        <v>10</v>
      </c>
      <c r="N129" s="170" t="s">
        <v>1834</v>
      </c>
      <c r="O129" s="181"/>
      <c r="P129" s="170"/>
      <c r="Q129" s="176"/>
      <c r="R129" s="184"/>
      <c r="S129" s="170"/>
      <c r="T129" s="170"/>
      <c r="U129" s="170"/>
      <c r="V129" s="170"/>
      <c r="W129" s="170"/>
      <c r="X129" s="170"/>
      <c r="Y129" s="170"/>
      <c r="Z129" s="170"/>
      <c r="AA129" s="170"/>
      <c r="AB129" s="236"/>
      <c r="AC129" s="236"/>
      <c r="AD129" s="236"/>
      <c r="AE129" s="236"/>
      <c r="AF129" s="236"/>
      <c r="AG129" s="236"/>
      <c r="AH129" s="236"/>
      <c r="AI129" s="236"/>
      <c r="AJ129" s="236"/>
      <c r="AK129" s="236"/>
      <c r="AL129" s="236"/>
      <c r="AM129" s="236"/>
      <c r="AN129" s="236"/>
      <c r="AO129" s="236"/>
      <c r="AP129" s="236"/>
      <c r="AQ129" s="236"/>
      <c r="AR129" s="236"/>
      <c r="AS129" s="236"/>
      <c r="AT129" s="236"/>
      <c r="AU129" s="236"/>
    </row>
    <row r="130" spans="1:47" ht="15.75" customHeight="1">
      <c r="A130" s="170" t="s">
        <v>53</v>
      </c>
      <c r="B130" s="171" t="s">
        <v>1928</v>
      </c>
      <c r="C130" s="170" t="s">
        <v>413</v>
      </c>
      <c r="D130" s="170" t="s">
        <v>417</v>
      </c>
      <c r="E130" s="170" t="s">
        <v>418</v>
      </c>
      <c r="F130" s="170" t="s">
        <v>1814</v>
      </c>
      <c r="G130" s="170" t="s">
        <v>62</v>
      </c>
      <c r="H130" s="170" t="s">
        <v>419</v>
      </c>
      <c r="I130" s="170" t="s">
        <v>420</v>
      </c>
      <c r="J130" s="525" t="s">
        <v>1191</v>
      </c>
      <c r="K130" s="170" t="s">
        <v>1983</v>
      </c>
      <c r="L130" s="525">
        <v>2023</v>
      </c>
      <c r="M130" s="170" t="s">
        <v>10</v>
      </c>
      <c r="N130" s="170" t="s">
        <v>1834</v>
      </c>
      <c r="O130" s="181"/>
      <c r="P130" s="170"/>
      <c r="Q130" s="176"/>
      <c r="R130" s="184"/>
      <c r="S130" s="170"/>
      <c r="T130" s="170"/>
      <c r="U130" s="170"/>
      <c r="V130" s="170"/>
      <c r="W130" s="170"/>
      <c r="X130" s="170"/>
      <c r="Y130" s="170"/>
      <c r="Z130" s="170"/>
      <c r="AA130" s="170"/>
      <c r="AB130" s="236"/>
      <c r="AC130" s="236"/>
      <c r="AD130" s="236"/>
      <c r="AE130" s="236"/>
      <c r="AF130" s="236"/>
      <c r="AG130" s="236"/>
      <c r="AH130" s="236"/>
      <c r="AI130" s="236"/>
      <c r="AJ130" s="236"/>
      <c r="AK130" s="236"/>
      <c r="AL130" s="236"/>
      <c r="AM130" s="236"/>
      <c r="AN130" s="236"/>
      <c r="AO130" s="236"/>
      <c r="AP130" s="236"/>
      <c r="AQ130" s="236"/>
      <c r="AR130" s="236"/>
      <c r="AS130" s="236"/>
      <c r="AT130" s="236"/>
      <c r="AU130" s="236"/>
    </row>
    <row r="131" spans="1:47" ht="15.75" customHeight="1">
      <c r="A131" s="170" t="s">
        <v>53</v>
      </c>
      <c r="B131" s="171" t="s">
        <v>1928</v>
      </c>
      <c r="C131" s="170" t="s">
        <v>413</v>
      </c>
      <c r="D131" s="170" t="s">
        <v>421</v>
      </c>
      <c r="E131" s="170" t="s">
        <v>422</v>
      </c>
      <c r="F131" s="172"/>
      <c r="G131" s="172" t="s">
        <v>58</v>
      </c>
      <c r="H131" s="172"/>
      <c r="I131" s="173"/>
      <c r="J131" s="524">
        <v>1</v>
      </c>
      <c r="K131" s="172"/>
      <c r="L131" s="524"/>
      <c r="M131" s="172"/>
      <c r="N131" s="172"/>
      <c r="O131" s="175"/>
      <c r="P131" s="172"/>
      <c r="Q131" s="176"/>
      <c r="R131" s="177"/>
      <c r="S131" s="172"/>
      <c r="T131" s="172"/>
      <c r="U131" s="172"/>
      <c r="V131" s="172"/>
      <c r="W131" s="172"/>
      <c r="X131" s="172"/>
      <c r="Y131" s="172"/>
      <c r="Z131" s="172"/>
      <c r="AA131" s="172"/>
      <c r="AB131" s="236"/>
      <c r="AC131" s="236"/>
      <c r="AD131" s="236"/>
      <c r="AE131" s="236"/>
      <c r="AF131" s="236"/>
      <c r="AG131" s="236"/>
      <c r="AH131" s="236"/>
      <c r="AI131" s="236"/>
      <c r="AJ131" s="236"/>
      <c r="AK131" s="236"/>
      <c r="AL131" s="236"/>
      <c r="AM131" s="236"/>
      <c r="AN131" s="236"/>
      <c r="AO131" s="236"/>
      <c r="AP131" s="236"/>
      <c r="AQ131" s="236"/>
      <c r="AR131" s="236"/>
      <c r="AS131" s="236"/>
      <c r="AT131" s="236"/>
      <c r="AU131" s="236"/>
    </row>
    <row r="132" spans="1:47" ht="15.75" customHeight="1">
      <c r="A132" s="170" t="s">
        <v>53</v>
      </c>
      <c r="B132" s="171" t="s">
        <v>1928</v>
      </c>
      <c r="C132" s="170" t="s">
        <v>413</v>
      </c>
      <c r="D132" s="170" t="s">
        <v>423</v>
      </c>
      <c r="E132" s="178" t="s">
        <v>424</v>
      </c>
      <c r="F132" s="170" t="s">
        <v>1821</v>
      </c>
      <c r="G132" s="170" t="s">
        <v>58</v>
      </c>
      <c r="H132" s="170" t="s">
        <v>425</v>
      </c>
      <c r="I132" s="170" t="s">
        <v>210</v>
      </c>
      <c r="J132" s="525" t="s">
        <v>1191</v>
      </c>
      <c r="K132" s="170" t="s">
        <v>1984</v>
      </c>
      <c r="L132" s="525" t="s">
        <v>3966</v>
      </c>
      <c r="M132" s="170" t="s">
        <v>10</v>
      </c>
      <c r="N132" s="170" t="s">
        <v>1985</v>
      </c>
      <c r="O132" s="181"/>
      <c r="P132" s="170"/>
      <c r="Q132" s="176"/>
      <c r="R132" s="184"/>
      <c r="S132" s="170"/>
      <c r="T132" s="170"/>
      <c r="U132" s="170"/>
      <c r="V132" s="170"/>
      <c r="W132" s="170"/>
      <c r="X132" s="170"/>
      <c r="Y132" s="170"/>
      <c r="Z132" s="170"/>
      <c r="AA132" s="170"/>
      <c r="AB132" s="236"/>
      <c r="AC132" s="236"/>
      <c r="AD132" s="236"/>
      <c r="AE132" s="236"/>
      <c r="AF132" s="236"/>
      <c r="AG132" s="236"/>
      <c r="AH132" s="236"/>
      <c r="AI132" s="236"/>
      <c r="AJ132" s="236"/>
      <c r="AK132" s="236"/>
      <c r="AL132" s="236"/>
      <c r="AM132" s="236"/>
      <c r="AN132" s="236"/>
      <c r="AO132" s="236"/>
      <c r="AP132" s="236"/>
      <c r="AQ132" s="236"/>
      <c r="AR132" s="236"/>
      <c r="AS132" s="236"/>
      <c r="AT132" s="236"/>
      <c r="AU132" s="236"/>
    </row>
    <row r="133" spans="1:47" ht="15.75" customHeight="1">
      <c r="A133" s="170" t="s">
        <v>53</v>
      </c>
      <c r="B133" s="171" t="s">
        <v>1928</v>
      </c>
      <c r="C133" s="170" t="s">
        <v>413</v>
      </c>
      <c r="D133" s="170" t="s">
        <v>426</v>
      </c>
      <c r="E133" s="178" t="s">
        <v>427</v>
      </c>
      <c r="F133" s="170" t="s">
        <v>1814</v>
      </c>
      <c r="G133" s="170" t="s">
        <v>58</v>
      </c>
      <c r="H133" s="170" t="s">
        <v>428</v>
      </c>
      <c r="I133" s="170" t="s">
        <v>210</v>
      </c>
      <c r="J133" s="525" t="s">
        <v>1191</v>
      </c>
      <c r="K133" s="170" t="s">
        <v>1986</v>
      </c>
      <c r="L133" s="525">
        <v>2023</v>
      </c>
      <c r="M133" s="170" t="s">
        <v>10</v>
      </c>
      <c r="N133" s="170" t="s">
        <v>1987</v>
      </c>
      <c r="O133" s="181"/>
      <c r="P133" s="170"/>
      <c r="Q133" s="176"/>
      <c r="R133" s="184"/>
      <c r="S133" s="170"/>
      <c r="T133" s="170"/>
      <c r="U133" s="170"/>
      <c r="V133" s="170"/>
      <c r="W133" s="170"/>
      <c r="X133" s="170"/>
      <c r="Y133" s="170"/>
      <c r="Z133" s="170"/>
      <c r="AA133" s="170"/>
      <c r="AB133" s="236"/>
      <c r="AC133" s="236"/>
      <c r="AD133" s="236"/>
      <c r="AE133" s="236"/>
      <c r="AF133" s="236"/>
      <c r="AG133" s="236"/>
      <c r="AH133" s="236"/>
      <c r="AI133" s="236"/>
      <c r="AJ133" s="236"/>
      <c r="AK133" s="236"/>
      <c r="AL133" s="236"/>
      <c r="AM133" s="236"/>
      <c r="AN133" s="236"/>
      <c r="AO133" s="236"/>
      <c r="AP133" s="236"/>
      <c r="AQ133" s="236"/>
      <c r="AR133" s="236"/>
      <c r="AS133" s="236"/>
      <c r="AT133" s="236"/>
      <c r="AU133" s="236"/>
    </row>
    <row r="134" spans="1:47" ht="15.75" hidden="1" customHeight="1">
      <c r="A134" s="170" t="s">
        <v>53</v>
      </c>
      <c r="B134" s="171" t="s">
        <v>1927</v>
      </c>
      <c r="C134" s="170" t="s">
        <v>429</v>
      </c>
      <c r="D134" s="170" t="s">
        <v>430</v>
      </c>
      <c r="E134" s="170" t="s">
        <v>431</v>
      </c>
      <c r="F134" s="170"/>
      <c r="G134" s="170" t="s">
        <v>71</v>
      </c>
      <c r="H134" s="170" t="s">
        <v>432</v>
      </c>
      <c r="I134" s="170">
        <v>2030</v>
      </c>
      <c r="J134" s="170"/>
      <c r="K134" s="170"/>
      <c r="L134" s="180"/>
      <c r="M134" s="170"/>
      <c r="N134" s="170"/>
      <c r="O134" s="181"/>
      <c r="P134" s="170"/>
      <c r="Q134" s="176"/>
      <c r="R134" s="184"/>
      <c r="S134" s="170"/>
      <c r="T134" s="170"/>
      <c r="U134" s="170"/>
      <c r="V134" s="170"/>
      <c r="W134" s="170"/>
      <c r="X134" s="170"/>
      <c r="Y134" s="170"/>
      <c r="Z134" s="170"/>
      <c r="AA134" s="170"/>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row>
    <row r="135" spans="1:47" ht="15.75" customHeight="1">
      <c r="A135" s="170" t="s">
        <v>53</v>
      </c>
      <c r="B135" s="171" t="s">
        <v>1928</v>
      </c>
      <c r="C135" s="170" t="s">
        <v>429</v>
      </c>
      <c r="D135" s="170" t="s">
        <v>433</v>
      </c>
      <c r="E135" s="170" t="s">
        <v>434</v>
      </c>
      <c r="F135" s="172"/>
      <c r="G135" s="172" t="s">
        <v>58</v>
      </c>
      <c r="H135" s="172" t="s">
        <v>435</v>
      </c>
      <c r="I135" s="173" t="s">
        <v>210</v>
      </c>
      <c r="J135" s="524">
        <v>1</v>
      </c>
      <c r="K135" s="172"/>
      <c r="L135" s="524"/>
      <c r="M135" s="172"/>
      <c r="N135" s="172"/>
      <c r="O135" s="175"/>
      <c r="P135" s="172"/>
      <c r="Q135" s="176"/>
      <c r="R135" s="177"/>
      <c r="S135" s="172"/>
      <c r="T135" s="172"/>
      <c r="U135" s="172"/>
      <c r="V135" s="172"/>
      <c r="W135" s="172"/>
      <c r="X135" s="172"/>
      <c r="Y135" s="172"/>
      <c r="Z135" s="172"/>
      <c r="AA135" s="172"/>
      <c r="AB135" s="236"/>
      <c r="AC135" s="236"/>
      <c r="AD135" s="236"/>
      <c r="AE135" s="236"/>
      <c r="AF135" s="236"/>
      <c r="AG135" s="236"/>
      <c r="AH135" s="236"/>
      <c r="AI135" s="236"/>
      <c r="AJ135" s="236"/>
      <c r="AK135" s="236"/>
      <c r="AL135" s="236"/>
      <c r="AM135" s="236"/>
      <c r="AN135" s="236"/>
      <c r="AO135" s="236"/>
      <c r="AP135" s="236"/>
      <c r="AQ135" s="236"/>
      <c r="AR135" s="236"/>
      <c r="AS135" s="236"/>
      <c r="AT135" s="236"/>
      <c r="AU135" s="236"/>
    </row>
    <row r="136" spans="1:47" ht="15.75" customHeight="1">
      <c r="A136" s="170" t="s">
        <v>53</v>
      </c>
      <c r="B136" s="171" t="s">
        <v>1928</v>
      </c>
      <c r="C136" s="170" t="s">
        <v>429</v>
      </c>
      <c r="D136" s="170" t="s">
        <v>436</v>
      </c>
      <c r="E136" s="178" t="s">
        <v>437</v>
      </c>
      <c r="F136" s="170" t="s">
        <v>1824</v>
      </c>
      <c r="G136" s="170" t="s">
        <v>58</v>
      </c>
      <c r="H136" s="170" t="s">
        <v>435</v>
      </c>
      <c r="I136" s="170" t="s">
        <v>210</v>
      </c>
      <c r="J136" s="525" t="s">
        <v>1090</v>
      </c>
      <c r="K136" s="170" t="s">
        <v>1931</v>
      </c>
      <c r="L136" s="525"/>
      <c r="M136" s="170"/>
      <c r="N136" s="170"/>
      <c r="O136" s="181"/>
      <c r="P136" s="170"/>
      <c r="Q136" s="176"/>
      <c r="R136" s="184"/>
      <c r="S136" s="170"/>
      <c r="T136" s="170"/>
      <c r="U136" s="170"/>
      <c r="V136" s="170"/>
      <c r="W136" s="170"/>
      <c r="X136" s="170"/>
      <c r="Y136" s="170"/>
      <c r="Z136" s="170"/>
      <c r="AA136" s="170"/>
      <c r="AB136" s="236"/>
      <c r="AC136" s="236"/>
      <c r="AD136" s="236"/>
      <c r="AE136" s="236"/>
      <c r="AF136" s="236"/>
      <c r="AG136" s="236"/>
      <c r="AH136" s="236"/>
      <c r="AI136" s="236"/>
      <c r="AJ136" s="236"/>
      <c r="AK136" s="236"/>
      <c r="AL136" s="236"/>
      <c r="AM136" s="236"/>
      <c r="AN136" s="236"/>
      <c r="AO136" s="236"/>
      <c r="AP136" s="236"/>
      <c r="AQ136" s="236"/>
      <c r="AR136" s="236"/>
      <c r="AS136" s="236"/>
      <c r="AT136" s="236"/>
      <c r="AU136" s="236"/>
    </row>
    <row r="137" spans="1:47" ht="15.75" customHeight="1">
      <c r="A137" s="170" t="s">
        <v>53</v>
      </c>
      <c r="B137" s="171" t="s">
        <v>1928</v>
      </c>
      <c r="C137" s="170" t="s">
        <v>429</v>
      </c>
      <c r="D137" s="170" t="s">
        <v>438</v>
      </c>
      <c r="E137" s="178" t="s">
        <v>439</v>
      </c>
      <c r="F137" s="170" t="s">
        <v>1824</v>
      </c>
      <c r="G137" s="170" t="s">
        <v>58</v>
      </c>
      <c r="H137" s="170" t="s">
        <v>435</v>
      </c>
      <c r="I137" s="170" t="s">
        <v>210</v>
      </c>
      <c r="J137" s="525" t="s">
        <v>1090</v>
      </c>
      <c r="K137" s="170" t="s">
        <v>1931</v>
      </c>
      <c r="L137" s="525"/>
      <c r="M137" s="170"/>
      <c r="N137" s="170"/>
      <c r="O137" s="181"/>
      <c r="P137" s="170"/>
      <c r="Q137" s="176"/>
      <c r="R137" s="184"/>
      <c r="S137" s="170"/>
      <c r="T137" s="170"/>
      <c r="U137" s="170"/>
      <c r="V137" s="170"/>
      <c r="W137" s="170"/>
      <c r="X137" s="170"/>
      <c r="Y137" s="170"/>
      <c r="Z137" s="170"/>
      <c r="AA137" s="170"/>
      <c r="AB137" s="236"/>
      <c r="AC137" s="236"/>
      <c r="AD137" s="236"/>
      <c r="AE137" s="236"/>
      <c r="AF137" s="236"/>
      <c r="AG137" s="236"/>
      <c r="AH137" s="236"/>
      <c r="AI137" s="236"/>
      <c r="AJ137" s="236"/>
      <c r="AK137" s="236"/>
      <c r="AL137" s="236"/>
      <c r="AM137" s="236"/>
      <c r="AN137" s="236"/>
      <c r="AO137" s="236"/>
      <c r="AP137" s="236"/>
      <c r="AQ137" s="236"/>
      <c r="AR137" s="236"/>
      <c r="AS137" s="236"/>
      <c r="AT137" s="236"/>
      <c r="AU137" s="236"/>
    </row>
    <row r="138" spans="1:47" ht="15.75" customHeight="1">
      <c r="A138" s="170" t="s">
        <v>53</v>
      </c>
      <c r="B138" s="171" t="s">
        <v>1928</v>
      </c>
      <c r="C138" s="170" t="s">
        <v>429</v>
      </c>
      <c r="D138" s="170" t="s">
        <v>440</v>
      </c>
      <c r="E138" s="178" t="s">
        <v>441</v>
      </c>
      <c r="F138" s="170" t="s">
        <v>1824</v>
      </c>
      <c r="G138" s="170" t="s">
        <v>58</v>
      </c>
      <c r="H138" s="170" t="s">
        <v>435</v>
      </c>
      <c r="I138" s="170" t="s">
        <v>210</v>
      </c>
      <c r="J138" s="525" t="s">
        <v>1090</v>
      </c>
      <c r="K138" s="170" t="s">
        <v>1931</v>
      </c>
      <c r="L138" s="525"/>
      <c r="M138" s="170"/>
      <c r="N138" s="170"/>
      <c r="O138" s="181"/>
      <c r="P138" s="170"/>
      <c r="Q138" s="176"/>
      <c r="R138" s="184"/>
      <c r="S138" s="170"/>
      <c r="T138" s="170"/>
      <c r="U138" s="170"/>
      <c r="V138" s="170"/>
      <c r="W138" s="170"/>
      <c r="X138" s="170"/>
      <c r="Y138" s="170"/>
      <c r="Z138" s="170"/>
      <c r="AA138" s="170"/>
      <c r="AB138" s="236"/>
      <c r="AC138" s="236"/>
      <c r="AD138" s="236"/>
      <c r="AE138" s="236"/>
      <c r="AF138" s="236"/>
      <c r="AG138" s="236"/>
      <c r="AH138" s="236"/>
      <c r="AI138" s="236"/>
      <c r="AJ138" s="236"/>
      <c r="AK138" s="236"/>
      <c r="AL138" s="236"/>
      <c r="AM138" s="236"/>
      <c r="AN138" s="236"/>
      <c r="AO138" s="236"/>
      <c r="AP138" s="236"/>
      <c r="AQ138" s="236"/>
      <c r="AR138" s="236"/>
      <c r="AS138" s="236"/>
      <c r="AT138" s="236"/>
      <c r="AU138" s="236"/>
    </row>
    <row r="139" spans="1:47" ht="15.75" customHeight="1">
      <c r="A139" s="170" t="s">
        <v>53</v>
      </c>
      <c r="B139" s="171" t="s">
        <v>1928</v>
      </c>
      <c r="C139" s="170" t="s">
        <v>429</v>
      </c>
      <c r="D139" s="170" t="s">
        <v>442</v>
      </c>
      <c r="E139" s="178" t="s">
        <v>443</v>
      </c>
      <c r="F139" s="170" t="s">
        <v>1824</v>
      </c>
      <c r="G139" s="170" t="s">
        <v>58</v>
      </c>
      <c r="H139" s="170" t="s">
        <v>435</v>
      </c>
      <c r="I139" s="170" t="s">
        <v>210</v>
      </c>
      <c r="J139" s="525" t="s">
        <v>1090</v>
      </c>
      <c r="K139" s="170" t="s">
        <v>1931</v>
      </c>
      <c r="L139" s="525"/>
      <c r="M139" s="170"/>
      <c r="N139" s="170"/>
      <c r="O139" s="181"/>
      <c r="P139" s="170"/>
      <c r="Q139" s="176"/>
      <c r="R139" s="184"/>
      <c r="S139" s="170"/>
      <c r="T139" s="170"/>
      <c r="U139" s="170"/>
      <c r="V139" s="170"/>
      <c r="W139" s="170"/>
      <c r="X139" s="170"/>
      <c r="Y139" s="170"/>
      <c r="Z139" s="170"/>
      <c r="AA139" s="170"/>
      <c r="AB139" s="236"/>
      <c r="AC139" s="236"/>
      <c r="AD139" s="236"/>
      <c r="AE139" s="236"/>
      <c r="AF139" s="236"/>
      <c r="AG139" s="236"/>
      <c r="AH139" s="236"/>
      <c r="AI139" s="236"/>
      <c r="AJ139" s="236"/>
      <c r="AK139" s="236"/>
      <c r="AL139" s="236"/>
      <c r="AM139" s="236"/>
      <c r="AN139" s="236"/>
      <c r="AO139" s="236"/>
      <c r="AP139" s="236"/>
      <c r="AQ139" s="236"/>
      <c r="AR139" s="236"/>
      <c r="AS139" s="236"/>
      <c r="AT139" s="236"/>
      <c r="AU139" s="236"/>
    </row>
    <row r="140" spans="1:47" ht="15.75" customHeight="1">
      <c r="A140" s="170" t="s">
        <v>53</v>
      </c>
      <c r="B140" s="171" t="s">
        <v>1928</v>
      </c>
      <c r="C140" s="170" t="s">
        <v>429</v>
      </c>
      <c r="D140" s="170" t="s">
        <v>444</v>
      </c>
      <c r="E140" s="178" t="s">
        <v>445</v>
      </c>
      <c r="F140" s="170" t="s">
        <v>1824</v>
      </c>
      <c r="G140" s="170" t="s">
        <v>58</v>
      </c>
      <c r="H140" s="170" t="s">
        <v>435</v>
      </c>
      <c r="I140" s="170" t="s">
        <v>210</v>
      </c>
      <c r="J140" s="525" t="s">
        <v>1090</v>
      </c>
      <c r="K140" s="170" t="s">
        <v>1988</v>
      </c>
      <c r="L140" s="525"/>
      <c r="M140" s="170"/>
      <c r="N140" s="170" t="s">
        <v>1</v>
      </c>
      <c r="O140" s="181"/>
      <c r="P140" s="170"/>
      <c r="Q140" s="176"/>
      <c r="R140" s="184"/>
      <c r="S140" s="170"/>
      <c r="T140" s="170"/>
      <c r="U140" s="170"/>
      <c r="V140" s="170"/>
      <c r="W140" s="170"/>
      <c r="X140" s="170"/>
      <c r="Y140" s="170"/>
      <c r="Z140" s="170"/>
      <c r="AA140" s="170"/>
      <c r="AB140" s="236"/>
      <c r="AC140" s="236"/>
      <c r="AD140" s="236"/>
      <c r="AE140" s="236"/>
      <c r="AF140" s="236"/>
      <c r="AG140" s="236"/>
      <c r="AH140" s="236"/>
      <c r="AI140" s="236"/>
      <c r="AJ140" s="236"/>
      <c r="AK140" s="236"/>
      <c r="AL140" s="236"/>
      <c r="AM140" s="236"/>
      <c r="AN140" s="236"/>
      <c r="AO140" s="236"/>
      <c r="AP140" s="236"/>
      <c r="AQ140" s="236"/>
      <c r="AR140" s="236"/>
      <c r="AS140" s="236"/>
      <c r="AT140" s="236"/>
      <c r="AU140" s="236"/>
    </row>
    <row r="141" spans="1:47" ht="15.75" customHeight="1">
      <c r="A141" s="170" t="s">
        <v>53</v>
      </c>
      <c r="B141" s="171" t="s">
        <v>1928</v>
      </c>
      <c r="C141" s="170" t="s">
        <v>429</v>
      </c>
      <c r="D141" s="170" t="s">
        <v>446</v>
      </c>
      <c r="E141" s="178" t="s">
        <v>447</v>
      </c>
      <c r="F141" s="170" t="s">
        <v>1824</v>
      </c>
      <c r="G141" s="170" t="s">
        <v>58</v>
      </c>
      <c r="H141" s="170" t="s">
        <v>435</v>
      </c>
      <c r="I141" s="170" t="s">
        <v>210</v>
      </c>
      <c r="J141" s="525" t="s">
        <v>8</v>
      </c>
      <c r="K141" s="170" t="s">
        <v>1989</v>
      </c>
      <c r="L141" s="525">
        <v>2022</v>
      </c>
      <c r="M141" s="170" t="s">
        <v>10</v>
      </c>
      <c r="N141" s="170" t="s">
        <v>1834</v>
      </c>
      <c r="O141" s="181"/>
      <c r="P141" s="170"/>
      <c r="Q141" s="176"/>
      <c r="R141" s="184"/>
      <c r="S141" s="170"/>
      <c r="T141" s="170"/>
      <c r="U141" s="170"/>
      <c r="V141" s="170"/>
      <c r="W141" s="170"/>
      <c r="X141" s="170"/>
      <c r="Y141" s="170"/>
      <c r="Z141" s="170"/>
      <c r="AA141" s="170"/>
      <c r="AB141" s="236"/>
      <c r="AC141" s="236"/>
      <c r="AD141" s="236"/>
      <c r="AE141" s="236"/>
      <c r="AF141" s="236"/>
      <c r="AG141" s="236"/>
      <c r="AH141" s="236"/>
      <c r="AI141" s="236"/>
      <c r="AJ141" s="236"/>
      <c r="AK141" s="236"/>
      <c r="AL141" s="236"/>
      <c r="AM141" s="236"/>
      <c r="AN141" s="236"/>
      <c r="AO141" s="236"/>
      <c r="AP141" s="236"/>
      <c r="AQ141" s="236"/>
      <c r="AR141" s="236"/>
      <c r="AS141" s="236"/>
      <c r="AT141" s="236"/>
      <c r="AU141" s="236"/>
    </row>
    <row r="142" spans="1:47" ht="15.75" customHeight="1">
      <c r="A142" s="170" t="s">
        <v>53</v>
      </c>
      <c r="B142" s="171" t="s">
        <v>1928</v>
      </c>
      <c r="C142" s="170" t="s">
        <v>429</v>
      </c>
      <c r="D142" s="170" t="s">
        <v>448</v>
      </c>
      <c r="E142" s="170" t="s">
        <v>449</v>
      </c>
      <c r="F142" s="172"/>
      <c r="G142" s="172" t="s">
        <v>58</v>
      </c>
      <c r="H142" s="172" t="s">
        <v>450</v>
      </c>
      <c r="I142" s="173" t="s">
        <v>210</v>
      </c>
      <c r="J142" s="524">
        <v>1</v>
      </c>
      <c r="K142" s="172"/>
      <c r="L142" s="524"/>
      <c r="M142" s="172"/>
      <c r="N142" s="172"/>
      <c r="O142" s="175"/>
      <c r="P142" s="172"/>
      <c r="Q142" s="176"/>
      <c r="R142" s="177"/>
      <c r="S142" s="172"/>
      <c r="T142" s="172"/>
      <c r="U142" s="172"/>
      <c r="V142" s="172"/>
      <c r="W142" s="172"/>
      <c r="X142" s="172"/>
      <c r="Y142" s="172"/>
      <c r="Z142" s="172"/>
      <c r="AA142" s="172"/>
      <c r="AB142" s="236"/>
      <c r="AC142" s="236"/>
      <c r="AD142" s="236"/>
      <c r="AE142" s="236"/>
      <c r="AF142" s="236"/>
      <c r="AG142" s="236"/>
      <c r="AH142" s="236"/>
      <c r="AI142" s="236"/>
      <c r="AJ142" s="236"/>
      <c r="AK142" s="236"/>
      <c r="AL142" s="236"/>
      <c r="AM142" s="236"/>
      <c r="AN142" s="236"/>
      <c r="AO142" s="236"/>
      <c r="AP142" s="236"/>
      <c r="AQ142" s="236"/>
      <c r="AR142" s="236"/>
      <c r="AS142" s="236"/>
      <c r="AT142" s="236"/>
      <c r="AU142" s="236"/>
    </row>
    <row r="143" spans="1:47" ht="15.75" customHeight="1">
      <c r="A143" s="170" t="s">
        <v>53</v>
      </c>
      <c r="B143" s="171" t="s">
        <v>1928</v>
      </c>
      <c r="C143" s="170" t="s">
        <v>429</v>
      </c>
      <c r="D143" s="170" t="s">
        <v>451</v>
      </c>
      <c r="E143" s="178" t="s">
        <v>452</v>
      </c>
      <c r="F143" s="170" t="s">
        <v>1816</v>
      </c>
      <c r="G143" s="170" t="s">
        <v>58</v>
      </c>
      <c r="H143" s="170" t="s">
        <v>450</v>
      </c>
      <c r="I143" s="170" t="s">
        <v>210</v>
      </c>
      <c r="J143" s="525" t="s">
        <v>1090</v>
      </c>
      <c r="K143" s="170" t="s">
        <v>1990</v>
      </c>
      <c r="L143" s="525"/>
      <c r="M143" s="170"/>
      <c r="N143" s="170"/>
      <c r="O143" s="181"/>
      <c r="P143" s="170"/>
      <c r="Q143" s="176"/>
      <c r="R143" s="184"/>
      <c r="S143" s="170"/>
      <c r="T143" s="170"/>
      <c r="U143" s="170"/>
      <c r="V143" s="170"/>
      <c r="W143" s="170"/>
      <c r="X143" s="170"/>
      <c r="Y143" s="170"/>
      <c r="Z143" s="170"/>
      <c r="AA143" s="170"/>
      <c r="AB143" s="236"/>
      <c r="AC143" s="236"/>
      <c r="AD143" s="236"/>
      <c r="AE143" s="236"/>
      <c r="AF143" s="236"/>
      <c r="AG143" s="236"/>
      <c r="AH143" s="236"/>
      <c r="AI143" s="236"/>
      <c r="AJ143" s="236"/>
      <c r="AK143" s="236"/>
      <c r="AL143" s="236"/>
      <c r="AM143" s="236"/>
      <c r="AN143" s="236"/>
      <c r="AO143" s="236"/>
      <c r="AP143" s="236"/>
      <c r="AQ143" s="236"/>
      <c r="AR143" s="236"/>
      <c r="AS143" s="236"/>
      <c r="AT143" s="236"/>
      <c r="AU143" s="236"/>
    </row>
    <row r="144" spans="1:47" ht="15.75" customHeight="1">
      <c r="A144" s="170" t="s">
        <v>53</v>
      </c>
      <c r="B144" s="171" t="s">
        <v>1928</v>
      </c>
      <c r="C144" s="170" t="s">
        <v>429</v>
      </c>
      <c r="D144" s="170" t="s">
        <v>453</v>
      </c>
      <c r="E144" s="178" t="s">
        <v>454</v>
      </c>
      <c r="F144" s="170" t="s">
        <v>1816</v>
      </c>
      <c r="G144" s="170" t="s">
        <v>58</v>
      </c>
      <c r="H144" s="170" t="s">
        <v>450</v>
      </c>
      <c r="I144" s="170" t="s">
        <v>210</v>
      </c>
      <c r="J144" s="525" t="s">
        <v>8</v>
      </c>
      <c r="K144" s="170" t="s">
        <v>1991</v>
      </c>
      <c r="L144" s="525">
        <v>2022</v>
      </c>
      <c r="M144" s="170" t="s">
        <v>10</v>
      </c>
      <c r="N144" s="170" t="s">
        <v>1992</v>
      </c>
      <c r="O144" s="181"/>
      <c r="P144" s="170"/>
      <c r="Q144" s="176"/>
      <c r="R144" s="184"/>
      <c r="S144" s="170"/>
      <c r="T144" s="170"/>
      <c r="U144" s="170"/>
      <c r="V144" s="170"/>
      <c r="W144" s="170"/>
      <c r="X144" s="170"/>
      <c r="Y144" s="170"/>
      <c r="Z144" s="170"/>
      <c r="AA144" s="170"/>
      <c r="AB144" s="236"/>
      <c r="AC144" s="236"/>
      <c r="AD144" s="236"/>
      <c r="AE144" s="236"/>
      <c r="AF144" s="236"/>
      <c r="AG144" s="236"/>
      <c r="AH144" s="236"/>
      <c r="AI144" s="236"/>
      <c r="AJ144" s="236"/>
      <c r="AK144" s="236"/>
      <c r="AL144" s="236"/>
      <c r="AM144" s="236"/>
      <c r="AN144" s="236"/>
      <c r="AO144" s="236"/>
      <c r="AP144" s="236"/>
      <c r="AQ144" s="236"/>
      <c r="AR144" s="236"/>
      <c r="AS144" s="236"/>
      <c r="AT144" s="236"/>
      <c r="AU144" s="236"/>
    </row>
    <row r="145" spans="1:47" ht="15.75" customHeight="1">
      <c r="A145" s="170" t="s">
        <v>53</v>
      </c>
      <c r="B145" s="171" t="s">
        <v>1928</v>
      </c>
      <c r="C145" s="170" t="s">
        <v>429</v>
      </c>
      <c r="D145" s="170" t="s">
        <v>455</v>
      </c>
      <c r="E145" s="178" t="s">
        <v>456</v>
      </c>
      <c r="F145" s="170" t="s">
        <v>1816</v>
      </c>
      <c r="G145" s="170" t="s">
        <v>58</v>
      </c>
      <c r="H145" s="170" t="s">
        <v>450</v>
      </c>
      <c r="I145" s="170" t="s">
        <v>210</v>
      </c>
      <c r="J145" s="525" t="s">
        <v>1090</v>
      </c>
      <c r="K145" s="170" t="s">
        <v>1990</v>
      </c>
      <c r="L145" s="525"/>
      <c r="M145" s="170"/>
      <c r="N145" s="170"/>
      <c r="O145" s="181"/>
      <c r="P145" s="170"/>
      <c r="Q145" s="176"/>
      <c r="R145" s="184"/>
      <c r="S145" s="170"/>
      <c r="T145" s="170"/>
      <c r="U145" s="170"/>
      <c r="V145" s="170"/>
      <c r="W145" s="170"/>
      <c r="X145" s="170"/>
      <c r="Y145" s="170"/>
      <c r="Z145" s="170"/>
      <c r="AA145" s="170"/>
      <c r="AB145" s="236"/>
      <c r="AC145" s="236"/>
      <c r="AD145" s="236"/>
      <c r="AE145" s="236"/>
      <c r="AF145" s="236"/>
      <c r="AG145" s="236"/>
      <c r="AH145" s="236"/>
      <c r="AI145" s="236"/>
      <c r="AJ145" s="236"/>
      <c r="AK145" s="236"/>
      <c r="AL145" s="236"/>
      <c r="AM145" s="236"/>
      <c r="AN145" s="236"/>
      <c r="AO145" s="236"/>
      <c r="AP145" s="236"/>
      <c r="AQ145" s="236"/>
      <c r="AR145" s="236"/>
      <c r="AS145" s="236"/>
      <c r="AT145" s="236"/>
      <c r="AU145" s="236"/>
    </row>
    <row r="146" spans="1:47" ht="15.75" customHeight="1">
      <c r="A146" s="170" t="s">
        <v>53</v>
      </c>
      <c r="B146" s="171" t="s">
        <v>1928</v>
      </c>
      <c r="C146" s="170" t="s">
        <v>429</v>
      </c>
      <c r="D146" s="170" t="s">
        <v>457</v>
      </c>
      <c r="E146" s="178" t="s">
        <v>458</v>
      </c>
      <c r="F146" s="170" t="s">
        <v>1816</v>
      </c>
      <c r="G146" s="170" t="s">
        <v>58</v>
      </c>
      <c r="H146" s="170" t="s">
        <v>450</v>
      </c>
      <c r="I146" s="170" t="s">
        <v>210</v>
      </c>
      <c r="J146" s="525" t="s">
        <v>1090</v>
      </c>
      <c r="K146" s="170" t="s">
        <v>1990</v>
      </c>
      <c r="L146" s="525"/>
      <c r="M146" s="170"/>
      <c r="N146" s="170"/>
      <c r="O146" s="181"/>
      <c r="P146" s="170"/>
      <c r="Q146" s="176"/>
      <c r="R146" s="184"/>
      <c r="S146" s="170"/>
      <c r="T146" s="170"/>
      <c r="U146" s="170"/>
      <c r="V146" s="170"/>
      <c r="W146" s="170"/>
      <c r="X146" s="170"/>
      <c r="Y146" s="170"/>
      <c r="Z146" s="170"/>
      <c r="AA146" s="170"/>
      <c r="AB146" s="236"/>
      <c r="AC146" s="236"/>
      <c r="AD146" s="236"/>
      <c r="AE146" s="236"/>
      <c r="AF146" s="236"/>
      <c r="AG146" s="236"/>
      <c r="AH146" s="236"/>
      <c r="AI146" s="236"/>
      <c r="AJ146" s="236"/>
      <c r="AK146" s="236"/>
      <c r="AL146" s="236"/>
      <c r="AM146" s="236"/>
      <c r="AN146" s="236"/>
      <c r="AO146" s="236"/>
      <c r="AP146" s="236"/>
      <c r="AQ146" s="236"/>
      <c r="AR146" s="236"/>
      <c r="AS146" s="236"/>
      <c r="AT146" s="236"/>
      <c r="AU146" s="236"/>
    </row>
    <row r="147" spans="1:47" ht="15.75" customHeight="1">
      <c r="A147" s="170" t="s">
        <v>53</v>
      </c>
      <c r="B147" s="171" t="s">
        <v>1928</v>
      </c>
      <c r="C147" s="170" t="s">
        <v>429</v>
      </c>
      <c r="D147" s="170" t="s">
        <v>459</v>
      </c>
      <c r="E147" s="178" t="s">
        <v>460</v>
      </c>
      <c r="F147" s="170" t="s">
        <v>1816</v>
      </c>
      <c r="G147" s="170" t="s">
        <v>58</v>
      </c>
      <c r="H147" s="170" t="s">
        <v>450</v>
      </c>
      <c r="I147" s="170" t="s">
        <v>210</v>
      </c>
      <c r="J147" s="525" t="s">
        <v>1090</v>
      </c>
      <c r="K147" s="170" t="s">
        <v>1990</v>
      </c>
      <c r="L147" s="525"/>
      <c r="M147" s="170"/>
      <c r="N147" s="170"/>
      <c r="O147" s="181"/>
      <c r="P147" s="170"/>
      <c r="Q147" s="176"/>
      <c r="R147" s="184"/>
      <c r="S147" s="170"/>
      <c r="T147" s="170"/>
      <c r="U147" s="170"/>
      <c r="V147" s="170"/>
      <c r="W147" s="170"/>
      <c r="X147" s="170"/>
      <c r="Y147" s="170"/>
      <c r="Z147" s="170"/>
      <c r="AA147" s="170"/>
      <c r="AB147" s="236"/>
      <c r="AC147" s="236"/>
      <c r="AD147" s="236"/>
      <c r="AE147" s="236"/>
      <c r="AF147" s="236"/>
      <c r="AG147" s="236"/>
      <c r="AH147" s="236"/>
      <c r="AI147" s="236"/>
      <c r="AJ147" s="236"/>
      <c r="AK147" s="236"/>
      <c r="AL147" s="236"/>
      <c r="AM147" s="236"/>
      <c r="AN147" s="236"/>
      <c r="AO147" s="236"/>
      <c r="AP147" s="236"/>
      <c r="AQ147" s="236"/>
      <c r="AR147" s="236"/>
      <c r="AS147" s="236"/>
      <c r="AT147" s="236"/>
      <c r="AU147" s="236"/>
    </row>
    <row r="148" spans="1:47" ht="15.75" customHeight="1">
      <c r="A148" s="170" t="s">
        <v>53</v>
      </c>
      <c r="B148" s="171" t="s">
        <v>1928</v>
      </c>
      <c r="C148" s="170" t="s">
        <v>429</v>
      </c>
      <c r="D148" s="170" t="s">
        <v>461</v>
      </c>
      <c r="E148" s="178" t="s">
        <v>462</v>
      </c>
      <c r="F148" s="170" t="s">
        <v>1816</v>
      </c>
      <c r="G148" s="170" t="s">
        <v>58</v>
      </c>
      <c r="H148" s="170" t="s">
        <v>450</v>
      </c>
      <c r="I148" s="170" t="s">
        <v>210</v>
      </c>
      <c r="J148" s="525" t="s">
        <v>1090</v>
      </c>
      <c r="K148" s="170" t="s">
        <v>1990</v>
      </c>
      <c r="L148" s="525"/>
      <c r="M148" s="170"/>
      <c r="N148" s="170"/>
      <c r="O148" s="181"/>
      <c r="P148" s="170"/>
      <c r="Q148" s="176"/>
      <c r="R148" s="184"/>
      <c r="S148" s="170"/>
      <c r="T148" s="170"/>
      <c r="U148" s="170"/>
      <c r="V148" s="170"/>
      <c r="W148" s="170"/>
      <c r="X148" s="170"/>
      <c r="Y148" s="170"/>
      <c r="Z148" s="170"/>
      <c r="AA148" s="170"/>
      <c r="AB148" s="236"/>
      <c r="AC148" s="236"/>
      <c r="AD148" s="236"/>
      <c r="AE148" s="236"/>
      <c r="AF148" s="236"/>
      <c r="AG148" s="236"/>
      <c r="AH148" s="236"/>
      <c r="AI148" s="236"/>
      <c r="AJ148" s="236"/>
      <c r="AK148" s="236"/>
      <c r="AL148" s="236"/>
      <c r="AM148" s="236"/>
      <c r="AN148" s="236"/>
      <c r="AO148" s="236"/>
      <c r="AP148" s="236"/>
      <c r="AQ148" s="236"/>
      <c r="AR148" s="236"/>
      <c r="AS148" s="236"/>
      <c r="AT148" s="236"/>
      <c r="AU148" s="236"/>
    </row>
    <row r="149" spans="1:47" ht="15.75" customHeight="1">
      <c r="A149" s="170" t="s">
        <v>53</v>
      </c>
      <c r="B149" s="171" t="s">
        <v>1928</v>
      </c>
      <c r="C149" s="170" t="s">
        <v>429</v>
      </c>
      <c r="D149" s="170" t="s">
        <v>463</v>
      </c>
      <c r="E149" s="178" t="s">
        <v>464</v>
      </c>
      <c r="F149" s="170" t="s">
        <v>1816</v>
      </c>
      <c r="G149" s="170" t="s">
        <v>58</v>
      </c>
      <c r="H149" s="170" t="s">
        <v>450</v>
      </c>
      <c r="I149" s="170" t="s">
        <v>210</v>
      </c>
      <c r="J149" s="525" t="s">
        <v>1090</v>
      </c>
      <c r="K149" s="170" t="s">
        <v>1990</v>
      </c>
      <c r="L149" s="525"/>
      <c r="M149" s="170"/>
      <c r="N149" s="170"/>
      <c r="O149" s="181"/>
      <c r="P149" s="170"/>
      <c r="Q149" s="176"/>
      <c r="R149" s="184"/>
      <c r="S149" s="170"/>
      <c r="T149" s="170"/>
      <c r="U149" s="170"/>
      <c r="V149" s="170"/>
      <c r="W149" s="170"/>
      <c r="X149" s="170"/>
      <c r="Y149" s="170"/>
      <c r="Z149" s="170"/>
      <c r="AA149" s="170"/>
      <c r="AB149" s="236"/>
      <c r="AC149" s="236"/>
      <c r="AD149" s="236"/>
      <c r="AE149" s="236"/>
      <c r="AF149" s="236"/>
      <c r="AG149" s="236"/>
      <c r="AH149" s="236"/>
      <c r="AI149" s="236"/>
      <c r="AJ149" s="236"/>
      <c r="AK149" s="236"/>
      <c r="AL149" s="236"/>
      <c r="AM149" s="236"/>
      <c r="AN149" s="236"/>
      <c r="AO149" s="236"/>
      <c r="AP149" s="236"/>
      <c r="AQ149" s="236"/>
      <c r="AR149" s="236"/>
      <c r="AS149" s="236"/>
      <c r="AT149" s="236"/>
      <c r="AU149" s="236"/>
    </row>
    <row r="150" spans="1:47" ht="259.5" customHeight="1">
      <c r="A150" s="170" t="s">
        <v>53</v>
      </c>
      <c r="B150" s="171" t="s">
        <v>1928</v>
      </c>
      <c r="C150" s="170" t="s">
        <v>429</v>
      </c>
      <c r="D150" s="170" t="s">
        <v>465</v>
      </c>
      <c r="E150" s="178" t="s">
        <v>466</v>
      </c>
      <c r="F150" s="170" t="s">
        <v>1821</v>
      </c>
      <c r="G150" s="170" t="s">
        <v>58</v>
      </c>
      <c r="H150" s="170" t="s">
        <v>450</v>
      </c>
      <c r="I150" s="170" t="s">
        <v>210</v>
      </c>
      <c r="J150" s="525" t="s">
        <v>1191</v>
      </c>
      <c r="K150" s="170" t="s">
        <v>1993</v>
      </c>
      <c r="L150" s="525">
        <v>2022</v>
      </c>
      <c r="M150" s="170"/>
      <c r="N150" s="170"/>
      <c r="O150" s="181"/>
      <c r="P150" s="170"/>
      <c r="Q150" s="176"/>
      <c r="R150" s="184"/>
      <c r="S150" s="170"/>
      <c r="T150" s="170"/>
      <c r="U150" s="170"/>
      <c r="V150" s="170"/>
      <c r="W150" s="170"/>
      <c r="X150" s="170"/>
      <c r="Y150" s="170"/>
      <c r="Z150" s="170"/>
      <c r="AA150" s="170"/>
      <c r="AB150" s="236"/>
      <c r="AC150" s="236"/>
      <c r="AD150" s="236"/>
      <c r="AE150" s="236"/>
      <c r="AF150" s="236"/>
      <c r="AG150" s="236"/>
      <c r="AH150" s="236"/>
      <c r="AI150" s="236"/>
      <c r="AJ150" s="236"/>
      <c r="AK150" s="236"/>
      <c r="AL150" s="236"/>
      <c r="AM150" s="236"/>
      <c r="AN150" s="236"/>
      <c r="AO150" s="236"/>
      <c r="AP150" s="236"/>
      <c r="AQ150" s="236"/>
      <c r="AR150" s="236"/>
      <c r="AS150" s="236"/>
      <c r="AT150" s="236"/>
      <c r="AU150" s="236"/>
    </row>
    <row r="151" spans="1:47" ht="15.75" customHeight="1">
      <c r="A151" s="170" t="s">
        <v>53</v>
      </c>
      <c r="B151" s="171" t="s">
        <v>1928</v>
      </c>
      <c r="C151" s="170" t="s">
        <v>429</v>
      </c>
      <c r="D151" s="170" t="s">
        <v>467</v>
      </c>
      <c r="E151" s="170" t="s">
        <v>468</v>
      </c>
      <c r="F151" s="170" t="s">
        <v>1824</v>
      </c>
      <c r="G151" s="170" t="s">
        <v>58</v>
      </c>
      <c r="H151" s="170" t="s">
        <v>469</v>
      </c>
      <c r="I151" s="170" t="s">
        <v>210</v>
      </c>
      <c r="J151" s="525" t="s">
        <v>8</v>
      </c>
      <c r="K151" s="170" t="s">
        <v>1994</v>
      </c>
      <c r="L151" s="525">
        <v>2022</v>
      </c>
      <c r="M151" s="170" t="s">
        <v>10</v>
      </c>
      <c r="N151" s="170" t="s">
        <v>1979</v>
      </c>
      <c r="O151" s="181"/>
      <c r="P151" s="170"/>
      <c r="Q151" s="176"/>
      <c r="R151" s="184"/>
      <c r="S151" s="170"/>
      <c r="T151" s="170"/>
      <c r="U151" s="170"/>
      <c r="V151" s="170"/>
      <c r="W151" s="170"/>
      <c r="X151" s="170"/>
      <c r="Y151" s="170"/>
      <c r="Z151" s="170"/>
      <c r="AA151" s="170"/>
      <c r="AB151" s="236"/>
      <c r="AC151" s="236"/>
      <c r="AD151" s="236"/>
      <c r="AE151" s="236"/>
      <c r="AF151" s="236"/>
      <c r="AG151" s="236"/>
      <c r="AH151" s="236"/>
      <c r="AI151" s="236"/>
      <c r="AJ151" s="236"/>
      <c r="AK151" s="236"/>
      <c r="AL151" s="236"/>
      <c r="AM151" s="236"/>
      <c r="AN151" s="236"/>
      <c r="AO151" s="236"/>
      <c r="AP151" s="236"/>
      <c r="AQ151" s="236"/>
      <c r="AR151" s="236"/>
      <c r="AS151" s="236"/>
      <c r="AT151" s="236"/>
      <c r="AU151" s="236"/>
    </row>
    <row r="152" spans="1:47" ht="15.75" hidden="1" customHeight="1">
      <c r="A152" s="170" t="s">
        <v>53</v>
      </c>
      <c r="B152" s="171" t="s">
        <v>1927</v>
      </c>
      <c r="C152" s="170" t="s">
        <v>429</v>
      </c>
      <c r="D152" s="170" t="s">
        <v>470</v>
      </c>
      <c r="E152" s="170" t="s">
        <v>471</v>
      </c>
      <c r="F152" s="170"/>
      <c r="G152" s="170" t="s">
        <v>71</v>
      </c>
      <c r="H152" s="170" t="s">
        <v>472</v>
      </c>
      <c r="I152" s="170">
        <v>1</v>
      </c>
      <c r="J152" s="170"/>
      <c r="K152" s="170"/>
      <c r="L152" s="180"/>
      <c r="M152" s="170"/>
      <c r="N152" s="170"/>
      <c r="O152" s="181"/>
      <c r="P152" s="170"/>
      <c r="Q152" s="176"/>
      <c r="R152" s="184"/>
      <c r="S152" s="170"/>
      <c r="T152" s="170"/>
      <c r="U152" s="170"/>
      <c r="V152" s="170"/>
      <c r="W152" s="170"/>
      <c r="X152" s="170"/>
      <c r="Y152" s="170"/>
      <c r="Z152" s="170"/>
      <c r="AA152" s="170"/>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row>
    <row r="153" spans="1:47" ht="15.75" customHeight="1">
      <c r="A153" s="170" t="s">
        <v>53</v>
      </c>
      <c r="B153" s="171" t="s">
        <v>1928</v>
      </c>
      <c r="C153" s="170" t="s">
        <v>473</v>
      </c>
      <c r="D153" s="170" t="s">
        <v>474</v>
      </c>
      <c r="E153" s="170" t="s">
        <v>475</v>
      </c>
      <c r="F153" s="170" t="s">
        <v>1824</v>
      </c>
      <c r="G153" s="170" t="s">
        <v>62</v>
      </c>
      <c r="H153" s="170" t="s">
        <v>476</v>
      </c>
      <c r="I153" s="170" t="s">
        <v>210</v>
      </c>
      <c r="J153" s="525" t="s">
        <v>8</v>
      </c>
      <c r="K153" s="170"/>
      <c r="L153" s="525">
        <v>2023</v>
      </c>
      <c r="M153" s="170" t="s">
        <v>9</v>
      </c>
      <c r="N153" s="170" t="s">
        <v>1995</v>
      </c>
      <c r="O153" s="181"/>
      <c r="P153" s="170"/>
      <c r="Q153" s="176"/>
      <c r="R153" s="184"/>
      <c r="S153" s="170"/>
      <c r="T153" s="170"/>
      <c r="U153" s="170"/>
      <c r="V153" s="170"/>
      <c r="W153" s="170"/>
      <c r="X153" s="170"/>
      <c r="Y153" s="170"/>
      <c r="Z153" s="170"/>
      <c r="AA153" s="170"/>
      <c r="AB153" s="236"/>
      <c r="AC153" s="236"/>
      <c r="AD153" s="236"/>
      <c r="AE153" s="236"/>
      <c r="AF153" s="236"/>
      <c r="AG153" s="236"/>
      <c r="AH153" s="236"/>
      <c r="AI153" s="236"/>
      <c r="AJ153" s="236"/>
      <c r="AK153" s="236"/>
      <c r="AL153" s="236"/>
      <c r="AM153" s="236"/>
      <c r="AN153" s="236"/>
      <c r="AO153" s="236"/>
      <c r="AP153" s="236"/>
      <c r="AQ153" s="236"/>
      <c r="AR153" s="236"/>
      <c r="AS153" s="236"/>
      <c r="AT153" s="236"/>
      <c r="AU153" s="236"/>
    </row>
    <row r="154" spans="1:47" ht="15.75" customHeight="1">
      <c r="A154" s="170" t="s">
        <v>53</v>
      </c>
      <c r="B154" s="171" t="s">
        <v>1928</v>
      </c>
      <c r="C154" s="170" t="s">
        <v>473</v>
      </c>
      <c r="D154" s="170" t="s">
        <v>477</v>
      </c>
      <c r="E154" s="170" t="s">
        <v>478</v>
      </c>
      <c r="F154" s="170" t="s">
        <v>1824</v>
      </c>
      <c r="G154" s="170" t="s">
        <v>62</v>
      </c>
      <c r="H154" s="170" t="s">
        <v>479</v>
      </c>
      <c r="I154" s="170" t="s">
        <v>210</v>
      </c>
      <c r="J154" s="525" t="s">
        <v>8</v>
      </c>
      <c r="K154" s="170"/>
      <c r="L154" s="525">
        <v>2023</v>
      </c>
      <c r="M154" s="170" t="s">
        <v>9</v>
      </c>
      <c r="N154" s="170" t="s">
        <v>1995</v>
      </c>
      <c r="O154" s="181"/>
      <c r="P154" s="170"/>
      <c r="Q154" s="176"/>
      <c r="R154" s="184"/>
      <c r="S154" s="170"/>
      <c r="T154" s="170"/>
      <c r="U154" s="170"/>
      <c r="V154" s="170"/>
      <c r="W154" s="170"/>
      <c r="X154" s="170"/>
      <c r="Y154" s="170"/>
      <c r="Z154" s="170"/>
      <c r="AA154" s="170"/>
      <c r="AB154" s="236"/>
      <c r="AC154" s="236"/>
      <c r="AD154" s="236"/>
      <c r="AE154" s="236"/>
      <c r="AF154" s="236"/>
      <c r="AG154" s="236"/>
      <c r="AH154" s="236"/>
      <c r="AI154" s="236"/>
      <c r="AJ154" s="236"/>
      <c r="AK154" s="236"/>
      <c r="AL154" s="236"/>
      <c r="AM154" s="236"/>
      <c r="AN154" s="236"/>
      <c r="AO154" s="236"/>
      <c r="AP154" s="236"/>
      <c r="AQ154" s="236"/>
      <c r="AR154" s="236"/>
      <c r="AS154" s="236"/>
      <c r="AT154" s="236"/>
      <c r="AU154" s="236"/>
    </row>
    <row r="155" spans="1:47" ht="15.75" hidden="1" customHeight="1">
      <c r="A155" s="220" t="s">
        <v>480</v>
      </c>
      <c r="B155" s="221"/>
      <c r="C155" s="222"/>
      <c r="D155" s="222"/>
      <c r="E155" s="222"/>
      <c r="F155" s="222"/>
      <c r="G155" s="222"/>
      <c r="H155" s="222"/>
      <c r="I155" s="222"/>
      <c r="J155" s="222"/>
      <c r="K155" s="222"/>
      <c r="L155" s="531"/>
      <c r="M155" s="222"/>
      <c r="N155" s="222"/>
      <c r="O155" s="222"/>
      <c r="P155" s="223"/>
      <c r="Q155" s="224"/>
      <c r="R155" s="225"/>
      <c r="S155" s="222"/>
      <c r="T155" s="222"/>
      <c r="U155" s="222"/>
      <c r="V155" s="222"/>
      <c r="W155" s="222"/>
      <c r="X155" s="222"/>
      <c r="Y155" s="222"/>
      <c r="Z155" s="222"/>
      <c r="AA155" s="22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row>
    <row r="156" spans="1:47" ht="15.75" customHeight="1">
      <c r="A156" s="170" t="s">
        <v>16</v>
      </c>
      <c r="B156" s="171" t="s">
        <v>54</v>
      </c>
      <c r="C156" s="170" t="s">
        <v>481</v>
      </c>
      <c r="D156" s="170" t="s">
        <v>482</v>
      </c>
      <c r="E156" s="170" t="s">
        <v>483</v>
      </c>
      <c r="F156" s="170" t="s">
        <v>1821</v>
      </c>
      <c r="G156" s="170" t="s">
        <v>62</v>
      </c>
      <c r="H156" s="170" t="s">
        <v>484</v>
      </c>
      <c r="I156" s="170" t="s">
        <v>485</v>
      </c>
      <c r="J156" s="170" t="s">
        <v>8</v>
      </c>
      <c r="K156" s="170" t="s">
        <v>1996</v>
      </c>
      <c r="L156" s="525">
        <v>2023</v>
      </c>
      <c r="M156" s="170" t="s">
        <v>10</v>
      </c>
      <c r="N156" s="170" t="s">
        <v>1834</v>
      </c>
      <c r="O156" s="181"/>
      <c r="P156" s="170"/>
      <c r="Q156" s="176"/>
      <c r="R156" s="184"/>
      <c r="S156" s="170"/>
      <c r="T156" s="170"/>
      <c r="U156" s="170"/>
      <c r="V156" s="170"/>
      <c r="W156" s="170"/>
      <c r="X156" s="170"/>
      <c r="Y156" s="170"/>
      <c r="Z156" s="170"/>
      <c r="AA156" s="170"/>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row>
    <row r="157" spans="1:47" ht="82.5" customHeight="1">
      <c r="A157" s="170" t="s">
        <v>16</v>
      </c>
      <c r="B157" s="171" t="s">
        <v>54</v>
      </c>
      <c r="C157" s="170" t="s">
        <v>486</v>
      </c>
      <c r="D157" s="170" t="s">
        <v>487</v>
      </c>
      <c r="E157" s="170" t="s">
        <v>488</v>
      </c>
      <c r="F157" s="172"/>
      <c r="G157" s="172" t="s">
        <v>62</v>
      </c>
      <c r="H157" s="172" t="s">
        <v>489</v>
      </c>
      <c r="I157" s="173" t="s">
        <v>490</v>
      </c>
      <c r="J157" s="172">
        <v>1</v>
      </c>
      <c r="K157" s="172"/>
      <c r="L157" s="524"/>
      <c r="M157" s="172"/>
      <c r="N157" s="172"/>
      <c r="O157" s="175"/>
      <c r="P157" s="172"/>
      <c r="Q157" s="176"/>
      <c r="R157" s="177"/>
      <c r="S157" s="172"/>
      <c r="T157" s="172"/>
      <c r="U157" s="172"/>
      <c r="V157" s="172"/>
      <c r="W157" s="172"/>
      <c r="X157" s="172"/>
      <c r="Y157" s="172"/>
      <c r="Z157" s="172"/>
      <c r="AA157" s="17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row>
    <row r="158" spans="1:47" ht="15.75" customHeight="1">
      <c r="A158" s="170" t="s">
        <v>16</v>
      </c>
      <c r="B158" s="171" t="s">
        <v>54</v>
      </c>
      <c r="C158" s="170" t="s">
        <v>486</v>
      </c>
      <c r="D158" s="170" t="s">
        <v>491</v>
      </c>
      <c r="E158" s="178" t="s">
        <v>492</v>
      </c>
      <c r="F158" s="170" t="s">
        <v>1821</v>
      </c>
      <c r="G158" s="170" t="s">
        <v>62</v>
      </c>
      <c r="H158" s="170" t="s">
        <v>493</v>
      </c>
      <c r="I158" s="170" t="s">
        <v>494</v>
      </c>
      <c r="J158" s="170" t="s">
        <v>8</v>
      </c>
      <c r="K158" s="180" t="s">
        <v>1997</v>
      </c>
      <c r="L158" s="525">
        <v>2023</v>
      </c>
      <c r="M158" s="170" t="s">
        <v>10</v>
      </c>
      <c r="N158" s="170" t="s">
        <v>1998</v>
      </c>
      <c r="O158" s="181"/>
      <c r="P158" s="170" t="s">
        <v>1999</v>
      </c>
      <c r="Q158" s="176"/>
      <c r="R158" s="184"/>
      <c r="S158" s="170"/>
      <c r="T158" s="170"/>
      <c r="U158" s="170"/>
      <c r="V158" s="170"/>
      <c r="W158" s="170"/>
      <c r="X158" s="170"/>
      <c r="Y158" s="170"/>
      <c r="Z158" s="170"/>
      <c r="AA158" s="170"/>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row>
    <row r="159" spans="1:47" ht="15.75" customHeight="1">
      <c r="A159" s="170" t="s">
        <v>16</v>
      </c>
      <c r="B159" s="171" t="s">
        <v>54</v>
      </c>
      <c r="C159" s="170" t="s">
        <v>486</v>
      </c>
      <c r="D159" s="170" t="s">
        <v>495</v>
      </c>
      <c r="E159" s="178" t="s">
        <v>496</v>
      </c>
      <c r="F159" s="170" t="s">
        <v>1821</v>
      </c>
      <c r="G159" s="170" t="s">
        <v>62</v>
      </c>
      <c r="H159" s="170" t="s">
        <v>493</v>
      </c>
      <c r="I159" s="170" t="s">
        <v>494</v>
      </c>
      <c r="J159" s="170" t="s">
        <v>8</v>
      </c>
      <c r="K159" s="180" t="s">
        <v>2000</v>
      </c>
      <c r="L159" s="525">
        <v>2023</v>
      </c>
      <c r="M159" s="170" t="s">
        <v>10</v>
      </c>
      <c r="N159" s="170" t="s">
        <v>2001</v>
      </c>
      <c r="O159" s="181"/>
      <c r="P159" s="170" t="s">
        <v>2002</v>
      </c>
      <c r="Q159" s="176"/>
      <c r="R159" s="184"/>
      <c r="S159" s="170"/>
      <c r="T159" s="170"/>
      <c r="U159" s="170"/>
      <c r="V159" s="170"/>
      <c r="W159" s="170"/>
      <c r="X159" s="170"/>
      <c r="Y159" s="170"/>
      <c r="Z159" s="170"/>
      <c r="AA159" s="170"/>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row>
    <row r="160" spans="1:47" ht="15.75" customHeight="1">
      <c r="A160" s="170" t="s">
        <v>16</v>
      </c>
      <c r="B160" s="171" t="s">
        <v>54</v>
      </c>
      <c r="C160" s="170" t="s">
        <v>486</v>
      </c>
      <c r="D160" s="170" t="s">
        <v>497</v>
      </c>
      <c r="E160" s="178" t="s">
        <v>498</v>
      </c>
      <c r="F160" s="170" t="s">
        <v>1821</v>
      </c>
      <c r="G160" s="170" t="s">
        <v>62</v>
      </c>
      <c r="H160" s="170" t="s">
        <v>493</v>
      </c>
      <c r="I160" s="170" t="s">
        <v>494</v>
      </c>
      <c r="J160" s="170" t="s">
        <v>8</v>
      </c>
      <c r="K160" s="180" t="s">
        <v>2003</v>
      </c>
      <c r="L160" s="525">
        <v>2023</v>
      </c>
      <c r="M160" s="170" t="s">
        <v>10</v>
      </c>
      <c r="N160" s="170" t="s">
        <v>2004</v>
      </c>
      <c r="O160" s="181"/>
      <c r="P160" s="170"/>
      <c r="Q160" s="176"/>
      <c r="R160" s="184"/>
      <c r="S160" s="170"/>
      <c r="T160" s="170"/>
      <c r="U160" s="170"/>
      <c r="V160" s="170"/>
      <c r="W160" s="170"/>
      <c r="X160" s="170"/>
      <c r="Y160" s="170"/>
      <c r="Z160" s="170"/>
      <c r="AA160" s="170"/>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row>
    <row r="161" spans="1:47" ht="15.75" customHeight="1">
      <c r="A161" s="170" t="s">
        <v>16</v>
      </c>
      <c r="B161" s="171" t="s">
        <v>54</v>
      </c>
      <c r="C161" s="170" t="s">
        <v>486</v>
      </c>
      <c r="D161" s="170" t="s">
        <v>499</v>
      </c>
      <c r="E161" s="178" t="s">
        <v>500</v>
      </c>
      <c r="F161" s="170" t="s">
        <v>1816</v>
      </c>
      <c r="G161" s="170" t="s">
        <v>62</v>
      </c>
      <c r="H161" s="170" t="s">
        <v>493</v>
      </c>
      <c r="I161" s="170" t="s">
        <v>494</v>
      </c>
      <c r="J161" s="170" t="s">
        <v>8</v>
      </c>
      <c r="K161" s="180" t="s">
        <v>2003</v>
      </c>
      <c r="L161" s="525">
        <v>2023</v>
      </c>
      <c r="M161" s="170" t="s">
        <v>10</v>
      </c>
      <c r="N161" s="170" t="s">
        <v>2005</v>
      </c>
      <c r="O161" s="181"/>
      <c r="P161" s="170"/>
      <c r="Q161" s="176"/>
      <c r="R161" s="184"/>
      <c r="S161" s="170"/>
      <c r="T161" s="170"/>
      <c r="U161" s="170"/>
      <c r="V161" s="170"/>
      <c r="W161" s="170"/>
      <c r="X161" s="170"/>
      <c r="Y161" s="170"/>
      <c r="Z161" s="170"/>
      <c r="AA161" s="170"/>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row>
    <row r="162" spans="1:47" ht="15.75" customHeight="1">
      <c r="A162" s="170" t="s">
        <v>16</v>
      </c>
      <c r="B162" s="171" t="s">
        <v>54</v>
      </c>
      <c r="C162" s="170" t="s">
        <v>486</v>
      </c>
      <c r="D162" s="170" t="s">
        <v>501</v>
      </c>
      <c r="E162" s="178" t="s">
        <v>502</v>
      </c>
      <c r="F162" s="170" t="s">
        <v>1816</v>
      </c>
      <c r="G162" s="170" t="s">
        <v>62</v>
      </c>
      <c r="H162" s="170" t="s">
        <v>493</v>
      </c>
      <c r="I162" s="170" t="s">
        <v>494</v>
      </c>
      <c r="J162" s="170" t="s">
        <v>8</v>
      </c>
      <c r="K162" s="180" t="s">
        <v>2006</v>
      </c>
      <c r="L162" s="525">
        <v>2023</v>
      </c>
      <c r="M162" s="170" t="s">
        <v>10</v>
      </c>
      <c r="N162" s="180" t="s">
        <v>2007</v>
      </c>
      <c r="O162" s="181"/>
      <c r="P162" s="170"/>
      <c r="Q162" s="176"/>
      <c r="R162" s="184"/>
      <c r="S162" s="170"/>
      <c r="T162" s="170"/>
      <c r="U162" s="170"/>
      <c r="V162" s="170"/>
      <c r="W162" s="170"/>
      <c r="X162" s="170"/>
      <c r="Y162" s="170"/>
      <c r="Z162" s="170"/>
      <c r="AA162" s="170"/>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row>
    <row r="163" spans="1:47" ht="15.75" customHeight="1">
      <c r="A163" s="170" t="s">
        <v>16</v>
      </c>
      <c r="B163" s="171" t="s">
        <v>54</v>
      </c>
      <c r="C163" s="170" t="s">
        <v>486</v>
      </c>
      <c r="D163" s="170" t="s">
        <v>503</v>
      </c>
      <c r="E163" s="178" t="s">
        <v>504</v>
      </c>
      <c r="F163" s="170" t="s">
        <v>1816</v>
      </c>
      <c r="G163" s="170" t="s">
        <v>62</v>
      </c>
      <c r="H163" s="170" t="s">
        <v>493</v>
      </c>
      <c r="I163" s="170" t="s">
        <v>494</v>
      </c>
      <c r="J163" s="170" t="s">
        <v>8</v>
      </c>
      <c r="K163" s="170" t="s">
        <v>2008</v>
      </c>
      <c r="L163" s="525">
        <v>2023</v>
      </c>
      <c r="M163" s="170" t="s">
        <v>9</v>
      </c>
      <c r="N163" s="170" t="s">
        <v>2009</v>
      </c>
      <c r="O163" s="181"/>
      <c r="P163" s="170"/>
      <c r="Q163" s="176"/>
      <c r="R163" s="184"/>
      <c r="S163" s="170"/>
      <c r="T163" s="170"/>
      <c r="U163" s="170"/>
      <c r="V163" s="170"/>
      <c r="W163" s="170"/>
      <c r="X163" s="170"/>
      <c r="Y163" s="170"/>
      <c r="Z163" s="170"/>
      <c r="AA163" s="170"/>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row>
    <row r="164" spans="1:47" ht="15.75" customHeight="1">
      <c r="A164" s="170" t="s">
        <v>16</v>
      </c>
      <c r="B164" s="171" t="s">
        <v>54</v>
      </c>
      <c r="C164" s="170" t="s">
        <v>486</v>
      </c>
      <c r="D164" s="170" t="s">
        <v>505</v>
      </c>
      <c r="E164" s="178" t="s">
        <v>506</v>
      </c>
      <c r="F164" s="170" t="s">
        <v>1821</v>
      </c>
      <c r="G164" s="170" t="s">
        <v>62</v>
      </c>
      <c r="H164" s="170" t="s">
        <v>493</v>
      </c>
      <c r="I164" s="170" t="s">
        <v>494</v>
      </c>
      <c r="J164" s="170" t="s">
        <v>8</v>
      </c>
      <c r="K164" s="170"/>
      <c r="L164" s="525">
        <v>2023</v>
      </c>
      <c r="M164" s="170" t="s">
        <v>10</v>
      </c>
      <c r="N164" s="170" t="s">
        <v>2010</v>
      </c>
      <c r="O164" s="181"/>
      <c r="P164" s="170"/>
      <c r="Q164" s="176"/>
      <c r="R164" s="184"/>
      <c r="S164" s="170"/>
      <c r="T164" s="170"/>
      <c r="U164" s="170"/>
      <c r="V164" s="170"/>
      <c r="W164" s="170"/>
      <c r="X164" s="170"/>
      <c r="Y164" s="170"/>
      <c r="Z164" s="170"/>
      <c r="AA164" s="170"/>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row>
    <row r="165" spans="1:47" ht="15.75" customHeight="1">
      <c r="A165" s="170" t="s">
        <v>16</v>
      </c>
      <c r="B165" s="171" t="s">
        <v>54</v>
      </c>
      <c r="C165" s="170" t="s">
        <v>486</v>
      </c>
      <c r="D165" s="170" t="s">
        <v>507</v>
      </c>
      <c r="E165" s="178" t="s">
        <v>508</v>
      </c>
      <c r="F165" s="170" t="s">
        <v>1821</v>
      </c>
      <c r="G165" s="170" t="s">
        <v>62</v>
      </c>
      <c r="H165" s="170" t="s">
        <v>493</v>
      </c>
      <c r="I165" s="170" t="s">
        <v>494</v>
      </c>
      <c r="J165" s="170" t="s">
        <v>8</v>
      </c>
      <c r="K165" s="170"/>
      <c r="L165" s="525">
        <v>2023</v>
      </c>
      <c r="M165" s="170" t="s">
        <v>10</v>
      </c>
      <c r="N165" s="180" t="s">
        <v>2011</v>
      </c>
      <c r="O165" s="181"/>
      <c r="P165" s="170"/>
      <c r="Q165" s="176"/>
      <c r="R165" s="184"/>
      <c r="S165" s="170"/>
      <c r="T165" s="170"/>
      <c r="U165" s="170"/>
      <c r="V165" s="170"/>
      <c r="W165" s="170"/>
      <c r="X165" s="170"/>
      <c r="Y165" s="170"/>
      <c r="Z165" s="170"/>
      <c r="AA165" s="170"/>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row>
    <row r="166" spans="1:47" ht="15.75" customHeight="1">
      <c r="A166" s="170" t="s">
        <v>16</v>
      </c>
      <c r="B166" s="171" t="s">
        <v>54</v>
      </c>
      <c r="C166" s="170" t="s">
        <v>486</v>
      </c>
      <c r="D166" s="170" t="s">
        <v>509</v>
      </c>
      <c r="E166" s="178" t="s">
        <v>510</v>
      </c>
      <c r="F166" s="170" t="s">
        <v>1821</v>
      </c>
      <c r="G166" s="170" t="s">
        <v>62</v>
      </c>
      <c r="H166" s="170" t="s">
        <v>493</v>
      </c>
      <c r="I166" s="170" t="s">
        <v>494</v>
      </c>
      <c r="J166" s="170" t="s">
        <v>8</v>
      </c>
      <c r="K166" s="170" t="s">
        <v>2012</v>
      </c>
      <c r="L166" s="525">
        <v>2023</v>
      </c>
      <c r="M166" s="170" t="s">
        <v>10</v>
      </c>
      <c r="N166" s="170" t="s">
        <v>2013</v>
      </c>
      <c r="O166" s="181"/>
      <c r="P166" s="170" t="s">
        <v>2014</v>
      </c>
      <c r="Q166" s="176"/>
      <c r="R166" s="184"/>
      <c r="S166" s="170"/>
      <c r="T166" s="170"/>
      <c r="U166" s="170"/>
      <c r="V166" s="170"/>
      <c r="W166" s="170"/>
      <c r="X166" s="170"/>
      <c r="Y166" s="170"/>
      <c r="Z166" s="170"/>
      <c r="AA166" s="170"/>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row>
    <row r="167" spans="1:47" ht="15.75" customHeight="1">
      <c r="A167" s="170" t="s">
        <v>16</v>
      </c>
      <c r="B167" s="171" t="s">
        <v>54</v>
      </c>
      <c r="C167" s="170" t="s">
        <v>486</v>
      </c>
      <c r="D167" s="170" t="s">
        <v>511</v>
      </c>
      <c r="E167" s="178" t="s">
        <v>512</v>
      </c>
      <c r="F167" s="170" t="s">
        <v>1816</v>
      </c>
      <c r="G167" s="170" t="s">
        <v>62</v>
      </c>
      <c r="H167" s="170" t="s">
        <v>493</v>
      </c>
      <c r="I167" s="170" t="s">
        <v>494</v>
      </c>
      <c r="J167" s="170" t="s">
        <v>8</v>
      </c>
      <c r="K167" s="170"/>
      <c r="L167" s="525">
        <v>2023</v>
      </c>
      <c r="M167" s="170" t="s">
        <v>10</v>
      </c>
      <c r="N167" s="180" t="s">
        <v>2015</v>
      </c>
      <c r="O167" s="181"/>
      <c r="P167" s="170"/>
      <c r="Q167" s="176"/>
      <c r="R167" s="184"/>
      <c r="S167" s="170"/>
      <c r="T167" s="170"/>
      <c r="U167" s="170"/>
      <c r="V167" s="170"/>
      <c r="W167" s="170"/>
      <c r="X167" s="170"/>
      <c r="Y167" s="170"/>
      <c r="Z167" s="170"/>
      <c r="AA167" s="170"/>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row>
    <row r="168" spans="1:47" ht="270" customHeight="1">
      <c r="A168" s="203" t="s">
        <v>16</v>
      </c>
      <c r="B168" s="204" t="s">
        <v>54</v>
      </c>
      <c r="C168" s="203" t="s">
        <v>486</v>
      </c>
      <c r="D168" s="203" t="s">
        <v>513</v>
      </c>
      <c r="E168" s="205" t="s">
        <v>514</v>
      </c>
      <c r="F168" s="203" t="s">
        <v>1816</v>
      </c>
      <c r="G168" s="203" t="s">
        <v>62</v>
      </c>
      <c r="H168" s="203" t="s">
        <v>493</v>
      </c>
      <c r="I168" s="203" t="s">
        <v>494</v>
      </c>
      <c r="J168" s="203" t="s">
        <v>1191</v>
      </c>
      <c r="K168" s="203" t="s">
        <v>2016</v>
      </c>
      <c r="L168" s="525">
        <v>2023</v>
      </c>
      <c r="M168" s="203" t="s">
        <v>10</v>
      </c>
      <c r="N168" s="180" t="s">
        <v>2015</v>
      </c>
      <c r="O168" s="207"/>
      <c r="P168" s="203"/>
      <c r="Q168" s="176"/>
      <c r="R168" s="208"/>
      <c r="S168" s="203"/>
      <c r="T168" s="203"/>
      <c r="U168" s="203"/>
      <c r="V168" s="203"/>
      <c r="W168" s="203"/>
      <c r="X168" s="203"/>
      <c r="Y168" s="203"/>
      <c r="Z168" s="203"/>
      <c r="AA168" s="203"/>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row>
    <row r="169" spans="1:47" ht="15.75" customHeight="1">
      <c r="A169" s="203" t="s">
        <v>16</v>
      </c>
      <c r="B169" s="204" t="s">
        <v>54</v>
      </c>
      <c r="C169" s="203" t="s">
        <v>486</v>
      </c>
      <c r="D169" s="208" t="s">
        <v>515</v>
      </c>
      <c r="E169" s="205" t="s">
        <v>2017</v>
      </c>
      <c r="F169" s="203" t="s">
        <v>1816</v>
      </c>
      <c r="G169" s="203" t="s">
        <v>62</v>
      </c>
      <c r="H169" s="203" t="s">
        <v>493</v>
      </c>
      <c r="I169" s="203" t="s">
        <v>494</v>
      </c>
      <c r="J169" s="203" t="s">
        <v>8</v>
      </c>
      <c r="K169" s="203" t="s">
        <v>2018</v>
      </c>
      <c r="L169" s="525">
        <v>2023</v>
      </c>
      <c r="M169" s="203" t="s">
        <v>10</v>
      </c>
      <c r="N169" s="203" t="s">
        <v>2019</v>
      </c>
      <c r="O169" s="207"/>
      <c r="P169" s="203" t="s">
        <v>2020</v>
      </c>
      <c r="Q169" s="162"/>
      <c r="R169" s="170"/>
      <c r="S169" s="170"/>
      <c r="T169" s="170"/>
      <c r="U169" s="170"/>
      <c r="V169" s="170"/>
      <c r="W169" s="170"/>
      <c r="X169" s="170"/>
      <c r="Y169" s="170"/>
      <c r="Z169" s="170"/>
      <c r="AA169" s="170"/>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row>
    <row r="170" spans="1:47" ht="15.75" customHeight="1">
      <c r="A170" s="170" t="s">
        <v>16</v>
      </c>
      <c r="B170" s="171" t="s">
        <v>54</v>
      </c>
      <c r="C170" s="170" t="s">
        <v>486</v>
      </c>
      <c r="D170" s="184" t="s">
        <v>517</v>
      </c>
      <c r="E170" s="170" t="s">
        <v>518</v>
      </c>
      <c r="F170" s="170" t="s">
        <v>1821</v>
      </c>
      <c r="G170" s="170" t="s">
        <v>62</v>
      </c>
      <c r="H170" s="170" t="s">
        <v>519</v>
      </c>
      <c r="I170" s="179">
        <v>1</v>
      </c>
      <c r="J170" s="170" t="s">
        <v>1191</v>
      </c>
      <c r="K170" s="170" t="s">
        <v>2021</v>
      </c>
      <c r="L170" s="525">
        <v>2023</v>
      </c>
      <c r="M170" s="170" t="s">
        <v>9</v>
      </c>
      <c r="N170" s="170" t="s">
        <v>2022</v>
      </c>
      <c r="O170" s="181"/>
      <c r="P170" s="170"/>
      <c r="Q170" s="176"/>
      <c r="R170" s="226"/>
      <c r="S170" s="210"/>
      <c r="T170" s="210"/>
      <c r="U170" s="210"/>
      <c r="V170" s="210"/>
      <c r="W170" s="210"/>
      <c r="X170" s="210"/>
      <c r="Y170" s="210"/>
      <c r="Z170" s="210"/>
      <c r="AA170" s="210"/>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row>
    <row r="171" spans="1:47" ht="15.75" customHeight="1">
      <c r="A171" s="210" t="s">
        <v>16</v>
      </c>
      <c r="B171" s="211" t="s">
        <v>54</v>
      </c>
      <c r="C171" s="210" t="s">
        <v>486</v>
      </c>
      <c r="D171" s="210" t="s">
        <v>520</v>
      </c>
      <c r="E171" s="210" t="s">
        <v>521</v>
      </c>
      <c r="F171" s="210" t="s">
        <v>1821</v>
      </c>
      <c r="G171" s="210" t="s">
        <v>62</v>
      </c>
      <c r="H171" s="210" t="s">
        <v>522</v>
      </c>
      <c r="I171" s="212">
        <v>1</v>
      </c>
      <c r="J171" s="210" t="s">
        <v>1191</v>
      </c>
      <c r="K171" s="210" t="s">
        <v>2023</v>
      </c>
      <c r="L171" s="525">
        <v>2023</v>
      </c>
      <c r="M171" s="210"/>
      <c r="N171" s="210"/>
      <c r="O171" s="213"/>
      <c r="P171" s="210"/>
      <c r="Q171" s="176"/>
      <c r="R171" s="184"/>
      <c r="S171" s="170"/>
      <c r="T171" s="170"/>
      <c r="U171" s="170"/>
      <c r="V171" s="170"/>
      <c r="W171" s="170"/>
      <c r="X171" s="170"/>
      <c r="Y171" s="170"/>
      <c r="Z171" s="170"/>
      <c r="AA171" s="170"/>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row>
    <row r="172" spans="1:47" ht="15.75" customHeight="1">
      <c r="A172" s="170" t="s">
        <v>16</v>
      </c>
      <c r="B172" s="171" t="s">
        <v>54</v>
      </c>
      <c r="C172" s="170" t="s">
        <v>486</v>
      </c>
      <c r="D172" s="170" t="s">
        <v>523</v>
      </c>
      <c r="E172" s="170" t="s">
        <v>524</v>
      </c>
      <c r="F172" s="170" t="s">
        <v>1821</v>
      </c>
      <c r="G172" s="170" t="s">
        <v>62</v>
      </c>
      <c r="H172" s="170" t="s">
        <v>525</v>
      </c>
      <c r="I172" s="170" t="s">
        <v>526</v>
      </c>
      <c r="J172" s="170" t="s">
        <v>8</v>
      </c>
      <c r="K172" s="170" t="s">
        <v>2024</v>
      </c>
      <c r="L172" s="525">
        <v>2023</v>
      </c>
      <c r="M172" s="170" t="s">
        <v>10</v>
      </c>
      <c r="N172" s="170" t="s">
        <v>2025</v>
      </c>
      <c r="O172" s="181"/>
      <c r="P172" s="170"/>
      <c r="Q172" s="176"/>
      <c r="R172" s="184"/>
      <c r="S172" s="170"/>
      <c r="T172" s="170"/>
      <c r="U172" s="170"/>
      <c r="V172" s="170"/>
      <c r="W172" s="170"/>
      <c r="X172" s="170"/>
      <c r="Y172" s="170"/>
      <c r="Z172" s="170"/>
      <c r="AA172" s="170"/>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row>
    <row r="173" spans="1:47" ht="15.75" customHeight="1">
      <c r="A173" s="170" t="s">
        <v>16</v>
      </c>
      <c r="B173" s="171" t="s">
        <v>54</v>
      </c>
      <c r="C173" s="170" t="s">
        <v>527</v>
      </c>
      <c r="D173" s="170" t="s">
        <v>528</v>
      </c>
      <c r="E173" s="170" t="s">
        <v>529</v>
      </c>
      <c r="F173" s="170" t="s">
        <v>1929</v>
      </c>
      <c r="G173" s="170" t="s">
        <v>62</v>
      </c>
      <c r="H173" s="170" t="s">
        <v>530</v>
      </c>
      <c r="I173" s="170" t="s">
        <v>135</v>
      </c>
      <c r="J173" s="170" t="s">
        <v>8</v>
      </c>
      <c r="K173" s="170" t="s">
        <v>2026</v>
      </c>
      <c r="L173" s="525">
        <v>2023</v>
      </c>
      <c r="M173" s="170" t="s">
        <v>10</v>
      </c>
      <c r="N173" s="170" t="s">
        <v>2027</v>
      </c>
      <c r="O173" s="181"/>
      <c r="P173" s="170" t="s">
        <v>2028</v>
      </c>
      <c r="Q173" s="176"/>
      <c r="R173" s="184"/>
      <c r="S173" s="170"/>
      <c r="T173" s="170"/>
      <c r="U173" s="170"/>
      <c r="V173" s="170"/>
      <c r="W173" s="170"/>
      <c r="X173" s="170"/>
      <c r="Y173" s="170"/>
      <c r="Z173" s="170"/>
      <c r="AA173" s="170"/>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row>
    <row r="174" spans="1:47" ht="15.75" customHeight="1">
      <c r="A174" s="170" t="s">
        <v>16</v>
      </c>
      <c r="B174" s="171" t="s">
        <v>195</v>
      </c>
      <c r="C174" s="170" t="s">
        <v>531</v>
      </c>
      <c r="D174" s="170" t="s">
        <v>532</v>
      </c>
      <c r="E174" s="170" t="s">
        <v>533</v>
      </c>
      <c r="F174" s="170" t="s">
        <v>1821</v>
      </c>
      <c r="G174" s="170" t="s">
        <v>62</v>
      </c>
      <c r="H174" s="170" t="s">
        <v>534</v>
      </c>
      <c r="I174" s="179">
        <v>1</v>
      </c>
      <c r="J174" s="170" t="s">
        <v>8</v>
      </c>
      <c r="K174" s="170" t="s">
        <v>2029</v>
      </c>
      <c r="L174" s="525">
        <v>2023</v>
      </c>
      <c r="M174" s="170" t="s">
        <v>10</v>
      </c>
      <c r="N174" s="170" t="s">
        <v>2030</v>
      </c>
      <c r="O174" s="181"/>
      <c r="P174" s="170" t="s">
        <v>2031</v>
      </c>
      <c r="Q174" s="176"/>
      <c r="R174" s="184"/>
      <c r="S174" s="170"/>
      <c r="T174" s="170"/>
      <c r="U174" s="170"/>
      <c r="V174" s="170"/>
      <c r="W174" s="170"/>
      <c r="X174" s="170"/>
      <c r="Y174" s="170"/>
      <c r="Z174" s="170"/>
      <c r="AA174" s="170"/>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row>
    <row r="175" spans="1:47" ht="15.75" customHeight="1">
      <c r="A175" s="170" t="s">
        <v>16</v>
      </c>
      <c r="B175" s="171" t="s">
        <v>195</v>
      </c>
      <c r="C175" s="170" t="s">
        <v>531</v>
      </c>
      <c r="D175" s="170" t="s">
        <v>535</v>
      </c>
      <c r="E175" s="170" t="s">
        <v>536</v>
      </c>
      <c r="F175" s="170" t="s">
        <v>1821</v>
      </c>
      <c r="G175" s="170" t="s">
        <v>62</v>
      </c>
      <c r="H175" s="170" t="s">
        <v>537</v>
      </c>
      <c r="I175" s="170" t="s">
        <v>538</v>
      </c>
      <c r="J175" s="170" t="s">
        <v>8</v>
      </c>
      <c r="K175" s="170" t="s">
        <v>2032</v>
      </c>
      <c r="L175" s="525">
        <v>2023</v>
      </c>
      <c r="M175" s="170" t="s">
        <v>9</v>
      </c>
      <c r="N175" s="170" t="s">
        <v>2033</v>
      </c>
      <c r="O175" s="181"/>
      <c r="P175" s="170"/>
      <c r="Q175" s="176"/>
      <c r="R175" s="184"/>
      <c r="S175" s="170"/>
      <c r="T175" s="170"/>
      <c r="U175" s="170"/>
      <c r="V175" s="170"/>
      <c r="W175" s="170"/>
      <c r="X175" s="170"/>
      <c r="Y175" s="170"/>
      <c r="Z175" s="170"/>
      <c r="AA175" s="170"/>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row>
    <row r="176" spans="1:47" ht="216.75" customHeight="1">
      <c r="A176" s="170" t="s">
        <v>16</v>
      </c>
      <c r="B176" s="171" t="s">
        <v>195</v>
      </c>
      <c r="C176" s="170" t="s">
        <v>539</v>
      </c>
      <c r="D176" s="170" t="s">
        <v>540</v>
      </c>
      <c r="E176" s="170" t="s">
        <v>541</v>
      </c>
      <c r="F176" s="170" t="s">
        <v>1821</v>
      </c>
      <c r="G176" s="170" t="s">
        <v>62</v>
      </c>
      <c r="H176" s="170" t="s">
        <v>542</v>
      </c>
      <c r="I176" s="179">
        <v>1</v>
      </c>
      <c r="J176" s="170" t="s">
        <v>1191</v>
      </c>
      <c r="K176" s="170" t="s">
        <v>2034</v>
      </c>
      <c r="L176" s="525">
        <v>2023</v>
      </c>
      <c r="M176" s="170" t="s">
        <v>11</v>
      </c>
      <c r="N176" s="170" t="s">
        <v>2035</v>
      </c>
      <c r="O176" s="181"/>
      <c r="P176" s="170"/>
      <c r="Q176" s="176"/>
      <c r="R176" s="184"/>
      <c r="S176" s="170"/>
      <c r="T176" s="170"/>
      <c r="U176" s="170"/>
      <c r="V176" s="170"/>
      <c r="W176" s="170"/>
      <c r="X176" s="170"/>
      <c r="Y176" s="170"/>
      <c r="Z176" s="170"/>
      <c r="AA176" s="170"/>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row>
    <row r="177" spans="1:47" ht="15.75" customHeight="1">
      <c r="A177" s="170" t="s">
        <v>16</v>
      </c>
      <c r="B177" s="171" t="s">
        <v>195</v>
      </c>
      <c r="C177" s="170" t="s">
        <v>543</v>
      </c>
      <c r="D177" s="170" t="s">
        <v>544</v>
      </c>
      <c r="E177" s="170" t="s">
        <v>253</v>
      </c>
      <c r="F177" s="172"/>
      <c r="G177" s="172" t="s">
        <v>62</v>
      </c>
      <c r="H177" s="172" t="s">
        <v>254</v>
      </c>
      <c r="I177" s="173"/>
      <c r="J177" s="172">
        <v>1</v>
      </c>
      <c r="K177" s="172"/>
      <c r="L177" s="524"/>
      <c r="M177" s="172"/>
      <c r="N177" s="172"/>
      <c r="O177" s="175"/>
      <c r="P177" s="172"/>
      <c r="Q177" s="176"/>
      <c r="R177" s="177"/>
      <c r="S177" s="172"/>
      <c r="T177" s="172"/>
      <c r="U177" s="172"/>
      <c r="V177" s="172"/>
      <c r="W177" s="172"/>
      <c r="X177" s="172"/>
      <c r="Y177" s="172"/>
      <c r="Z177" s="172"/>
      <c r="AA177" s="17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row>
    <row r="178" spans="1:47" ht="15.75" customHeight="1">
      <c r="A178" s="170" t="s">
        <v>16</v>
      </c>
      <c r="B178" s="171" t="s">
        <v>195</v>
      </c>
      <c r="C178" s="170" t="s">
        <v>543</v>
      </c>
      <c r="D178" s="170" t="s">
        <v>545</v>
      </c>
      <c r="E178" s="178" t="s">
        <v>546</v>
      </c>
      <c r="F178" s="170" t="s">
        <v>1821</v>
      </c>
      <c r="G178" s="170" t="s">
        <v>62</v>
      </c>
      <c r="H178" s="170" t="s">
        <v>254</v>
      </c>
      <c r="I178" s="179">
        <v>1</v>
      </c>
      <c r="J178" s="170" t="s">
        <v>1090</v>
      </c>
      <c r="K178" s="170" t="s">
        <v>2036</v>
      </c>
      <c r="L178" s="525"/>
      <c r="M178" s="170"/>
      <c r="N178" s="170"/>
      <c r="O178" s="181"/>
      <c r="P178" s="170"/>
      <c r="Q178" s="176"/>
      <c r="R178" s="184"/>
      <c r="S178" s="170"/>
      <c r="T178" s="170"/>
      <c r="U178" s="170"/>
      <c r="V178" s="170"/>
      <c r="W178" s="170"/>
      <c r="X178" s="170"/>
      <c r="Y178" s="170"/>
      <c r="Z178" s="170"/>
      <c r="AA178" s="170"/>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row>
    <row r="179" spans="1:47" ht="15.75" customHeight="1">
      <c r="A179" s="170" t="s">
        <v>16</v>
      </c>
      <c r="B179" s="171" t="s">
        <v>195</v>
      </c>
      <c r="C179" s="170" t="s">
        <v>543</v>
      </c>
      <c r="D179" s="170" t="s">
        <v>547</v>
      </c>
      <c r="E179" s="178" t="s">
        <v>548</v>
      </c>
      <c r="F179" s="170" t="s">
        <v>1816</v>
      </c>
      <c r="G179" s="170" t="s">
        <v>58</v>
      </c>
      <c r="H179" s="170" t="s">
        <v>549</v>
      </c>
      <c r="I179" s="170" t="s">
        <v>210</v>
      </c>
      <c r="J179" s="170" t="s">
        <v>8</v>
      </c>
      <c r="K179" s="170"/>
      <c r="L179" s="525">
        <v>2023</v>
      </c>
      <c r="M179" s="170" t="s">
        <v>10</v>
      </c>
      <c r="N179" s="170" t="s">
        <v>2037</v>
      </c>
      <c r="O179" s="181"/>
      <c r="P179" s="170"/>
      <c r="Q179" s="176"/>
      <c r="R179" s="184"/>
      <c r="S179" s="170"/>
      <c r="T179" s="170"/>
      <c r="U179" s="170"/>
      <c r="V179" s="170"/>
      <c r="W179" s="170"/>
      <c r="X179" s="170"/>
      <c r="Y179" s="170"/>
      <c r="Z179" s="170"/>
      <c r="AA179" s="170"/>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row>
    <row r="180" spans="1:47" ht="15.75" customHeight="1">
      <c r="A180" s="170" t="s">
        <v>16</v>
      </c>
      <c r="B180" s="171" t="s">
        <v>195</v>
      </c>
      <c r="C180" s="170" t="s">
        <v>543</v>
      </c>
      <c r="D180" s="170" t="s">
        <v>550</v>
      </c>
      <c r="E180" s="178" t="s">
        <v>551</v>
      </c>
      <c r="F180" s="170" t="s">
        <v>1821</v>
      </c>
      <c r="G180" s="170" t="s">
        <v>58</v>
      </c>
      <c r="H180" s="170" t="s">
        <v>552</v>
      </c>
      <c r="I180" s="170" t="s">
        <v>210</v>
      </c>
      <c r="J180" s="170" t="s">
        <v>8</v>
      </c>
      <c r="K180" s="170"/>
      <c r="L180" s="525">
        <v>2023</v>
      </c>
      <c r="M180" s="170" t="s">
        <v>10</v>
      </c>
      <c r="N180" s="170" t="s">
        <v>2037</v>
      </c>
      <c r="O180" s="181"/>
      <c r="P180" s="170"/>
      <c r="Q180" s="176"/>
      <c r="R180" s="184"/>
      <c r="S180" s="170"/>
      <c r="T180" s="170"/>
      <c r="U180" s="170"/>
      <c r="V180" s="170"/>
      <c r="W180" s="170"/>
      <c r="X180" s="170"/>
      <c r="Y180" s="170"/>
      <c r="Z180" s="170"/>
      <c r="AA180" s="170"/>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row>
    <row r="181" spans="1:47" ht="15.75" customHeight="1">
      <c r="A181" s="170" t="s">
        <v>16</v>
      </c>
      <c r="B181" s="171" t="s">
        <v>195</v>
      </c>
      <c r="C181" s="170" t="s">
        <v>543</v>
      </c>
      <c r="D181" s="170" t="s">
        <v>553</v>
      </c>
      <c r="E181" s="170" t="s">
        <v>2038</v>
      </c>
      <c r="F181" s="170" t="s">
        <v>1821</v>
      </c>
      <c r="G181" s="170" t="s">
        <v>62</v>
      </c>
      <c r="H181" s="170" t="s">
        <v>555</v>
      </c>
      <c r="I181" s="179">
        <v>1</v>
      </c>
      <c r="J181" s="170" t="s">
        <v>8</v>
      </c>
      <c r="K181" s="170" t="s">
        <v>2037</v>
      </c>
      <c r="L181" s="525">
        <v>2023</v>
      </c>
      <c r="M181" s="170" t="s">
        <v>10</v>
      </c>
      <c r="N181" s="170" t="s">
        <v>2037</v>
      </c>
      <c r="O181" s="181"/>
      <c r="P181" s="170"/>
      <c r="Q181" s="176"/>
      <c r="R181" s="184"/>
      <c r="S181" s="170"/>
      <c r="T181" s="170"/>
      <c r="U181" s="170"/>
      <c r="V181" s="170"/>
      <c r="W181" s="170"/>
      <c r="X181" s="170"/>
      <c r="Y181" s="170"/>
      <c r="Z181" s="170"/>
      <c r="AA181" s="170"/>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row>
    <row r="182" spans="1:47" ht="15.75" customHeight="1">
      <c r="A182" s="170" t="s">
        <v>16</v>
      </c>
      <c r="B182" s="171" t="s">
        <v>195</v>
      </c>
      <c r="C182" s="170" t="s">
        <v>556</v>
      </c>
      <c r="D182" s="170" t="s">
        <v>557</v>
      </c>
      <c r="E182" s="170" t="s">
        <v>558</v>
      </c>
      <c r="F182" s="170" t="s">
        <v>1814</v>
      </c>
      <c r="G182" s="170" t="s">
        <v>62</v>
      </c>
      <c r="H182" s="170" t="s">
        <v>559</v>
      </c>
      <c r="I182" s="170" t="s">
        <v>485</v>
      </c>
      <c r="J182" s="170" t="s">
        <v>8</v>
      </c>
      <c r="K182" s="170"/>
      <c r="L182" s="525">
        <v>2023</v>
      </c>
      <c r="M182" s="170" t="s">
        <v>9</v>
      </c>
      <c r="N182" s="170" t="s">
        <v>2039</v>
      </c>
      <c r="O182" s="181"/>
      <c r="P182" s="170"/>
      <c r="Q182" s="176"/>
      <c r="R182" s="184"/>
      <c r="S182" s="170"/>
      <c r="T182" s="170"/>
      <c r="U182" s="170"/>
      <c r="V182" s="170"/>
      <c r="W182" s="170"/>
      <c r="X182" s="170"/>
      <c r="Y182" s="170"/>
      <c r="Z182" s="170"/>
      <c r="AA182" s="170"/>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row>
    <row r="183" spans="1:47" ht="15.75" customHeight="1">
      <c r="A183" s="170" t="s">
        <v>16</v>
      </c>
      <c r="B183" s="171" t="s">
        <v>195</v>
      </c>
      <c r="C183" s="170" t="s">
        <v>556</v>
      </c>
      <c r="D183" s="170" t="s">
        <v>560</v>
      </c>
      <c r="E183" s="170" t="s">
        <v>561</v>
      </c>
      <c r="F183" s="170" t="s">
        <v>1821</v>
      </c>
      <c r="G183" s="170" t="s">
        <v>62</v>
      </c>
      <c r="H183" s="170" t="s">
        <v>259</v>
      </c>
      <c r="I183" s="170" t="s">
        <v>210</v>
      </c>
      <c r="J183" s="170" t="s">
        <v>1090</v>
      </c>
      <c r="K183" s="170" t="s">
        <v>2040</v>
      </c>
      <c r="L183" s="525"/>
      <c r="M183" s="170"/>
      <c r="N183" s="170"/>
      <c r="O183" s="181"/>
      <c r="P183" s="170"/>
      <c r="Q183" s="176"/>
      <c r="R183" s="184"/>
      <c r="S183" s="170"/>
      <c r="T183" s="170"/>
      <c r="U183" s="170"/>
      <c r="V183" s="170"/>
      <c r="W183" s="170"/>
      <c r="X183" s="170"/>
      <c r="Y183" s="170"/>
      <c r="Z183" s="170"/>
      <c r="AA183" s="170"/>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row>
    <row r="184" spans="1:47" ht="15.75" customHeight="1">
      <c r="A184" s="170" t="s">
        <v>16</v>
      </c>
      <c r="B184" s="171" t="s">
        <v>274</v>
      </c>
      <c r="C184" s="170" t="s">
        <v>562</v>
      </c>
      <c r="D184" s="170" t="s">
        <v>563</v>
      </c>
      <c r="E184" s="170" t="s">
        <v>564</v>
      </c>
      <c r="F184" s="172"/>
      <c r="G184" s="172" t="s">
        <v>62</v>
      </c>
      <c r="H184" s="172"/>
      <c r="I184" s="173"/>
      <c r="J184" s="172">
        <v>1</v>
      </c>
      <c r="K184" s="172"/>
      <c r="L184" s="524"/>
      <c r="M184" s="172"/>
      <c r="N184" s="172"/>
      <c r="O184" s="175"/>
      <c r="P184" s="172"/>
      <c r="Q184" s="176"/>
      <c r="R184" s="177"/>
      <c r="S184" s="172"/>
      <c r="T184" s="172"/>
      <c r="U184" s="172"/>
      <c r="V184" s="172"/>
      <c r="W184" s="172"/>
      <c r="X184" s="172"/>
      <c r="Y184" s="172"/>
      <c r="Z184" s="172"/>
      <c r="AA184" s="17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row>
    <row r="185" spans="1:47" ht="15.75" customHeight="1">
      <c r="A185" s="170" t="s">
        <v>16</v>
      </c>
      <c r="B185" s="171" t="s">
        <v>274</v>
      </c>
      <c r="C185" s="170" t="s">
        <v>562</v>
      </c>
      <c r="D185" s="170" t="s">
        <v>565</v>
      </c>
      <c r="E185" s="178" t="s">
        <v>566</v>
      </c>
      <c r="F185" s="170" t="s">
        <v>1816</v>
      </c>
      <c r="G185" s="170" t="s">
        <v>62</v>
      </c>
      <c r="H185" s="170" t="s">
        <v>567</v>
      </c>
      <c r="I185" s="179">
        <v>1</v>
      </c>
      <c r="J185" s="170" t="s">
        <v>8</v>
      </c>
      <c r="K185" s="170"/>
      <c r="L185" s="525">
        <v>2023</v>
      </c>
      <c r="M185" s="170" t="s">
        <v>10</v>
      </c>
      <c r="N185" s="181" t="s">
        <v>2041</v>
      </c>
      <c r="P185" s="170"/>
      <c r="Q185" s="176"/>
      <c r="R185" s="184"/>
      <c r="S185" s="170"/>
      <c r="T185" s="170"/>
      <c r="U185" s="170"/>
      <c r="V185" s="170"/>
      <c r="W185" s="170"/>
      <c r="X185" s="170"/>
      <c r="Y185" s="170"/>
      <c r="Z185" s="170"/>
      <c r="AA185" s="170"/>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row>
    <row r="186" spans="1:47" ht="15.75" customHeight="1">
      <c r="A186" s="170" t="s">
        <v>16</v>
      </c>
      <c r="B186" s="171" t="s">
        <v>274</v>
      </c>
      <c r="C186" s="170" t="s">
        <v>562</v>
      </c>
      <c r="D186" s="170" t="s">
        <v>568</v>
      </c>
      <c r="E186" s="178" t="s">
        <v>569</v>
      </c>
      <c r="F186" s="170" t="s">
        <v>1816</v>
      </c>
      <c r="G186" s="170" t="s">
        <v>62</v>
      </c>
      <c r="H186" s="170" t="s">
        <v>570</v>
      </c>
      <c r="I186" s="179">
        <v>1</v>
      </c>
      <c r="J186" s="170" t="s">
        <v>8</v>
      </c>
      <c r="K186" s="170"/>
      <c r="L186" s="525">
        <v>2023</v>
      </c>
      <c r="M186" s="170" t="s">
        <v>12</v>
      </c>
      <c r="N186" s="181" t="s">
        <v>2042</v>
      </c>
      <c r="P186" s="170"/>
      <c r="Q186" s="176"/>
      <c r="R186" s="184"/>
      <c r="S186" s="170"/>
      <c r="T186" s="170"/>
      <c r="U186" s="170"/>
      <c r="V186" s="170"/>
      <c r="W186" s="170"/>
      <c r="X186" s="170"/>
      <c r="Y186" s="170"/>
      <c r="Z186" s="170"/>
      <c r="AA186" s="170"/>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row>
    <row r="187" spans="1:47" ht="15.75" customHeight="1">
      <c r="A187" s="170" t="s">
        <v>16</v>
      </c>
      <c r="B187" s="171" t="s">
        <v>274</v>
      </c>
      <c r="C187" s="170" t="s">
        <v>571</v>
      </c>
      <c r="D187" s="170" t="s">
        <v>572</v>
      </c>
      <c r="E187" s="170" t="s">
        <v>573</v>
      </c>
      <c r="F187" s="170" t="s">
        <v>1821</v>
      </c>
      <c r="G187" s="170" t="s">
        <v>62</v>
      </c>
      <c r="H187" s="170" t="s">
        <v>574</v>
      </c>
      <c r="I187" s="179">
        <v>1</v>
      </c>
      <c r="J187" s="170" t="s">
        <v>1191</v>
      </c>
      <c r="K187" s="170" t="s">
        <v>2043</v>
      </c>
      <c r="L187" s="525" t="s">
        <v>3968</v>
      </c>
      <c r="M187" s="170" t="s">
        <v>10</v>
      </c>
      <c r="N187" s="170" t="s">
        <v>2044</v>
      </c>
      <c r="O187" s="181"/>
      <c r="P187" s="170"/>
      <c r="Q187" s="176"/>
      <c r="R187" s="184"/>
      <c r="S187" s="170"/>
      <c r="T187" s="170"/>
      <c r="U187" s="170"/>
      <c r="V187" s="170"/>
      <c r="W187" s="170"/>
      <c r="X187" s="170"/>
      <c r="Y187" s="170"/>
      <c r="Z187" s="170"/>
      <c r="AA187" s="170"/>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row>
    <row r="188" spans="1:47" ht="15.75" customHeight="1">
      <c r="A188" s="170" t="s">
        <v>16</v>
      </c>
      <c r="B188" s="171" t="s">
        <v>274</v>
      </c>
      <c r="C188" s="170" t="s">
        <v>571</v>
      </c>
      <c r="D188" s="170" t="s">
        <v>575</v>
      </c>
      <c r="E188" s="170" t="s">
        <v>576</v>
      </c>
      <c r="F188" s="170" t="s">
        <v>1816</v>
      </c>
      <c r="G188" s="170" t="s">
        <v>62</v>
      </c>
      <c r="H188" s="170" t="s">
        <v>577</v>
      </c>
      <c r="I188" s="179">
        <v>1</v>
      </c>
      <c r="J188" s="170" t="s">
        <v>8</v>
      </c>
      <c r="K188" s="170" t="s">
        <v>2045</v>
      </c>
      <c r="L188" s="525">
        <v>2023</v>
      </c>
      <c r="M188" s="170" t="s">
        <v>10</v>
      </c>
      <c r="N188" s="170" t="s">
        <v>2046</v>
      </c>
      <c r="O188" s="181"/>
      <c r="P188" s="170"/>
      <c r="Q188" s="176"/>
      <c r="R188" s="184"/>
      <c r="S188" s="170"/>
      <c r="T188" s="170"/>
      <c r="U188" s="170"/>
      <c r="V188" s="170"/>
      <c r="W188" s="170"/>
      <c r="X188" s="170"/>
      <c r="Y188" s="170"/>
      <c r="Z188" s="170"/>
      <c r="AA188" s="170"/>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row>
    <row r="189" spans="1:47" ht="15.75" customHeight="1">
      <c r="A189" s="170" t="s">
        <v>16</v>
      </c>
      <c r="B189" s="171" t="s">
        <v>274</v>
      </c>
      <c r="C189" s="170" t="s">
        <v>571</v>
      </c>
      <c r="D189" s="170" t="s">
        <v>578</v>
      </c>
      <c r="E189" s="170" t="s">
        <v>579</v>
      </c>
      <c r="F189" s="170" t="s">
        <v>1821</v>
      </c>
      <c r="G189" s="170" t="s">
        <v>62</v>
      </c>
      <c r="H189" s="170" t="s">
        <v>2047</v>
      </c>
      <c r="I189" s="179">
        <v>1</v>
      </c>
      <c r="J189" s="170" t="s">
        <v>8</v>
      </c>
      <c r="K189" s="170" t="s">
        <v>2048</v>
      </c>
      <c r="L189" s="525">
        <v>2023</v>
      </c>
      <c r="M189" s="170" t="s">
        <v>12</v>
      </c>
      <c r="N189" s="170" t="s">
        <v>2049</v>
      </c>
      <c r="O189" s="181"/>
      <c r="P189" s="170"/>
      <c r="Q189" s="176"/>
      <c r="R189" s="184"/>
      <c r="S189" s="170"/>
      <c r="T189" s="170"/>
      <c r="U189" s="170"/>
      <c r="V189" s="170"/>
      <c r="W189" s="170"/>
      <c r="X189" s="170"/>
      <c r="Y189" s="170"/>
      <c r="Z189" s="170"/>
      <c r="AA189" s="170"/>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row>
    <row r="190" spans="1:47" ht="15.75" hidden="1" customHeight="1">
      <c r="A190" s="172" t="s">
        <v>16</v>
      </c>
      <c r="B190" s="227" t="s">
        <v>274</v>
      </c>
      <c r="C190" s="172" t="s">
        <v>581</v>
      </c>
      <c r="D190" s="172" t="s">
        <v>582</v>
      </c>
      <c r="E190" s="172" t="s">
        <v>582</v>
      </c>
      <c r="F190" s="172" t="s">
        <v>582</v>
      </c>
      <c r="G190" s="172" t="s">
        <v>582</v>
      </c>
      <c r="H190" s="172" t="s">
        <v>582</v>
      </c>
      <c r="I190" s="172" t="s">
        <v>582</v>
      </c>
      <c r="J190" s="172" t="s">
        <v>582</v>
      </c>
      <c r="K190" s="172" t="s">
        <v>582</v>
      </c>
      <c r="L190" s="172" t="s">
        <v>582</v>
      </c>
      <c r="M190" s="172" t="s">
        <v>582</v>
      </c>
      <c r="N190" s="172" t="s">
        <v>582</v>
      </c>
      <c r="O190" s="172" t="s">
        <v>582</v>
      </c>
      <c r="P190" s="172" t="s">
        <v>582</v>
      </c>
      <c r="Q190" s="228"/>
      <c r="R190" s="177" t="s">
        <v>582</v>
      </c>
      <c r="S190" s="172" t="s">
        <v>582</v>
      </c>
      <c r="T190" s="172" t="s">
        <v>582</v>
      </c>
      <c r="U190" s="172"/>
      <c r="V190" s="172" t="s">
        <v>582</v>
      </c>
      <c r="W190" s="172" t="s">
        <v>582</v>
      </c>
      <c r="X190" s="172" t="s">
        <v>582</v>
      </c>
      <c r="Y190" s="172" t="s">
        <v>582</v>
      </c>
      <c r="Z190" s="172" t="s">
        <v>582</v>
      </c>
      <c r="AA190" s="172" t="s">
        <v>582</v>
      </c>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row>
    <row r="191" spans="1:47" ht="15.75" customHeight="1">
      <c r="A191" s="170" t="s">
        <v>16</v>
      </c>
      <c r="B191" s="171" t="s">
        <v>274</v>
      </c>
      <c r="C191" s="170" t="s">
        <v>583</v>
      </c>
      <c r="D191" s="170" t="s">
        <v>584</v>
      </c>
      <c r="E191" s="170" t="s">
        <v>585</v>
      </c>
      <c r="F191" s="170" t="s">
        <v>1824</v>
      </c>
      <c r="G191" s="170" t="s">
        <v>62</v>
      </c>
      <c r="H191" s="170" t="s">
        <v>586</v>
      </c>
      <c r="I191" s="179">
        <v>1</v>
      </c>
      <c r="J191" s="170" t="s">
        <v>1191</v>
      </c>
      <c r="K191" s="170"/>
      <c r="L191" s="525">
        <v>2023</v>
      </c>
      <c r="M191" s="170" t="s">
        <v>12</v>
      </c>
      <c r="N191" s="170" t="s">
        <v>2050</v>
      </c>
      <c r="O191" s="181"/>
      <c r="P191" s="170"/>
      <c r="Q191" s="176"/>
      <c r="R191" s="184"/>
      <c r="S191" s="170"/>
      <c r="T191" s="170"/>
      <c r="U191" s="170"/>
      <c r="V191" s="170"/>
      <c r="W191" s="170"/>
      <c r="X191" s="170"/>
      <c r="Y191" s="170"/>
      <c r="Z191" s="170"/>
      <c r="AA191" s="170"/>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row>
    <row r="192" spans="1:47" ht="15.75" customHeight="1">
      <c r="A192" s="170" t="s">
        <v>16</v>
      </c>
      <c r="B192" s="171" t="s">
        <v>587</v>
      </c>
      <c r="C192" s="170" t="s">
        <v>588</v>
      </c>
      <c r="D192" s="170" t="s">
        <v>589</v>
      </c>
      <c r="E192" s="170" t="s">
        <v>590</v>
      </c>
      <c r="F192" s="170" t="s">
        <v>1821</v>
      </c>
      <c r="G192" s="170" t="s">
        <v>62</v>
      </c>
      <c r="H192" s="170" t="s">
        <v>591</v>
      </c>
      <c r="I192" s="179">
        <v>1</v>
      </c>
      <c r="J192" s="170" t="s">
        <v>8</v>
      </c>
      <c r="K192" s="170"/>
      <c r="L192" s="525">
        <v>2023</v>
      </c>
      <c r="M192" s="170" t="s">
        <v>11</v>
      </c>
      <c r="N192" s="170" t="s">
        <v>2051</v>
      </c>
      <c r="O192" s="181"/>
      <c r="P192" s="170"/>
      <c r="Q192" s="176"/>
      <c r="R192" s="184"/>
      <c r="S192" s="170"/>
      <c r="T192" s="170"/>
      <c r="U192" s="170"/>
      <c r="V192" s="170"/>
      <c r="W192" s="170"/>
      <c r="X192" s="170"/>
      <c r="Y192" s="170"/>
      <c r="Z192" s="170"/>
      <c r="AA192" s="170"/>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row>
    <row r="193" spans="1:47" ht="15.75" customHeight="1">
      <c r="A193" s="170" t="s">
        <v>16</v>
      </c>
      <c r="B193" s="171" t="s">
        <v>587</v>
      </c>
      <c r="C193" s="170" t="s">
        <v>588</v>
      </c>
      <c r="D193" s="170" t="s">
        <v>592</v>
      </c>
      <c r="E193" s="170" t="s">
        <v>351</v>
      </c>
      <c r="F193" s="172"/>
      <c r="G193" s="172" t="s">
        <v>62</v>
      </c>
      <c r="H193" s="172" t="s">
        <v>352</v>
      </c>
      <c r="I193" s="173">
        <v>1</v>
      </c>
      <c r="J193" s="172">
        <v>1</v>
      </c>
      <c r="K193" s="172"/>
      <c r="L193" s="524"/>
      <c r="M193" s="172"/>
      <c r="N193" s="172"/>
      <c r="O193" s="175"/>
      <c r="P193" s="172"/>
      <c r="Q193" s="176"/>
      <c r="R193" s="177"/>
      <c r="S193" s="172"/>
      <c r="T193" s="172"/>
      <c r="U193" s="172"/>
      <c r="V193" s="172"/>
      <c r="W193" s="172"/>
      <c r="X193" s="172"/>
      <c r="Y193" s="172"/>
      <c r="Z193" s="172"/>
      <c r="AA193" s="17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row>
    <row r="194" spans="1:47" ht="15.75" customHeight="1">
      <c r="A194" s="170" t="s">
        <v>16</v>
      </c>
      <c r="B194" s="171" t="s">
        <v>587</v>
      </c>
      <c r="C194" s="170" t="s">
        <v>588</v>
      </c>
      <c r="D194" s="170" t="s">
        <v>593</v>
      </c>
      <c r="E194" s="178" t="s">
        <v>594</v>
      </c>
      <c r="F194" s="170" t="s">
        <v>1821</v>
      </c>
      <c r="G194" s="170" t="s">
        <v>62</v>
      </c>
      <c r="H194" s="170" t="s">
        <v>352</v>
      </c>
      <c r="I194" s="179">
        <v>1</v>
      </c>
      <c r="J194" s="170" t="s">
        <v>8</v>
      </c>
      <c r="K194" s="170" t="s">
        <v>2052</v>
      </c>
      <c r="L194" s="525">
        <v>2023</v>
      </c>
      <c r="M194" s="170" t="s">
        <v>11</v>
      </c>
      <c r="N194" s="170" t="s">
        <v>2051</v>
      </c>
      <c r="O194" s="181"/>
      <c r="P194" s="170" t="s">
        <v>2053</v>
      </c>
      <c r="Q194" s="176"/>
      <c r="R194" s="184"/>
      <c r="S194" s="170"/>
      <c r="T194" s="170"/>
      <c r="U194" s="170"/>
      <c r="V194" s="170"/>
      <c r="W194" s="170"/>
      <c r="X194" s="170"/>
      <c r="Y194" s="170"/>
      <c r="Z194" s="170"/>
      <c r="AA194" s="170"/>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row>
    <row r="195" spans="1:47" ht="15.75" customHeight="1">
      <c r="A195" s="170" t="s">
        <v>16</v>
      </c>
      <c r="B195" s="171" t="s">
        <v>587</v>
      </c>
      <c r="C195" s="170" t="s">
        <v>588</v>
      </c>
      <c r="D195" s="170" t="s">
        <v>593</v>
      </c>
      <c r="E195" s="178" t="s">
        <v>595</v>
      </c>
      <c r="F195" s="170" t="s">
        <v>1821</v>
      </c>
      <c r="G195" s="170" t="s">
        <v>62</v>
      </c>
      <c r="H195" s="170" t="s">
        <v>352</v>
      </c>
      <c r="I195" s="179">
        <v>1</v>
      </c>
      <c r="J195" s="170" t="s">
        <v>8</v>
      </c>
      <c r="K195" s="170" t="s">
        <v>2054</v>
      </c>
      <c r="L195" s="525">
        <v>2023</v>
      </c>
      <c r="M195" s="170" t="s">
        <v>10</v>
      </c>
      <c r="N195" s="170" t="s">
        <v>2001</v>
      </c>
      <c r="O195" s="181"/>
      <c r="P195" s="170" t="s">
        <v>2053</v>
      </c>
      <c r="Q195" s="176"/>
      <c r="R195" s="184"/>
      <c r="S195" s="170"/>
      <c r="T195" s="170"/>
      <c r="U195" s="170"/>
      <c r="V195" s="170"/>
      <c r="W195" s="170"/>
      <c r="X195" s="170"/>
      <c r="Y195" s="170"/>
      <c r="Z195" s="170"/>
      <c r="AA195" s="170"/>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row>
    <row r="196" spans="1:47" ht="15.75" customHeight="1">
      <c r="A196" s="170" t="s">
        <v>16</v>
      </c>
      <c r="B196" s="171" t="s">
        <v>587</v>
      </c>
      <c r="C196" s="170" t="s">
        <v>588</v>
      </c>
      <c r="D196" s="170" t="s">
        <v>593</v>
      </c>
      <c r="E196" s="178" t="s">
        <v>596</v>
      </c>
      <c r="F196" s="170" t="s">
        <v>1821</v>
      </c>
      <c r="G196" s="170" t="s">
        <v>62</v>
      </c>
      <c r="H196" s="170" t="s">
        <v>352</v>
      </c>
      <c r="I196" s="179">
        <v>1</v>
      </c>
      <c r="J196" s="170" t="s">
        <v>8</v>
      </c>
      <c r="K196" s="170" t="s">
        <v>2055</v>
      </c>
      <c r="L196" s="525">
        <v>2023</v>
      </c>
      <c r="M196" s="170" t="s">
        <v>11</v>
      </c>
      <c r="N196" s="170" t="s">
        <v>2051</v>
      </c>
      <c r="O196" s="181"/>
      <c r="P196" s="170" t="s">
        <v>2053</v>
      </c>
      <c r="Q196" s="176"/>
      <c r="R196" s="184"/>
      <c r="S196" s="170"/>
      <c r="T196" s="170"/>
      <c r="U196" s="170"/>
      <c r="V196" s="170"/>
      <c r="W196" s="170"/>
      <c r="X196" s="170"/>
      <c r="Y196" s="170"/>
      <c r="Z196" s="170"/>
      <c r="AA196" s="170"/>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row>
    <row r="197" spans="1:47" ht="15.75" customHeight="1">
      <c r="A197" s="170" t="s">
        <v>16</v>
      </c>
      <c r="B197" s="171" t="s">
        <v>587</v>
      </c>
      <c r="C197" s="170" t="s">
        <v>588</v>
      </c>
      <c r="D197" s="170" t="s">
        <v>593</v>
      </c>
      <c r="E197" s="178" t="s">
        <v>597</v>
      </c>
      <c r="F197" s="170" t="s">
        <v>1821</v>
      </c>
      <c r="G197" s="170" t="s">
        <v>62</v>
      </c>
      <c r="H197" s="170" t="s">
        <v>352</v>
      </c>
      <c r="I197" s="179">
        <v>1</v>
      </c>
      <c r="J197" s="170" t="s">
        <v>8</v>
      </c>
      <c r="K197" s="170" t="s">
        <v>2056</v>
      </c>
      <c r="L197" s="525">
        <v>2023</v>
      </c>
      <c r="M197" s="170" t="s">
        <v>11</v>
      </c>
      <c r="N197" s="170" t="s">
        <v>2051</v>
      </c>
      <c r="O197" s="181"/>
      <c r="P197" s="170" t="s">
        <v>2053</v>
      </c>
      <c r="Q197" s="176"/>
      <c r="R197" s="184"/>
      <c r="S197" s="170"/>
      <c r="T197" s="170"/>
      <c r="U197" s="170"/>
      <c r="V197" s="170"/>
      <c r="W197" s="170"/>
      <c r="X197" s="170"/>
      <c r="Y197" s="170"/>
      <c r="Z197" s="170"/>
      <c r="AA197" s="170"/>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row>
    <row r="198" spans="1:47" ht="15.75" customHeight="1">
      <c r="A198" s="170" t="s">
        <v>16</v>
      </c>
      <c r="B198" s="171" t="s">
        <v>587</v>
      </c>
      <c r="C198" s="170" t="s">
        <v>588</v>
      </c>
      <c r="D198" s="170" t="s">
        <v>598</v>
      </c>
      <c r="E198" s="178" t="s">
        <v>599</v>
      </c>
      <c r="F198" s="170" t="s">
        <v>1821</v>
      </c>
      <c r="G198" s="170" t="s">
        <v>62</v>
      </c>
      <c r="H198" s="170" t="s">
        <v>352</v>
      </c>
      <c r="I198" s="179">
        <v>1</v>
      </c>
      <c r="J198" s="170" t="s">
        <v>8</v>
      </c>
      <c r="K198" s="170" t="s">
        <v>2057</v>
      </c>
      <c r="L198" s="525">
        <v>2023</v>
      </c>
      <c r="M198" s="170" t="s">
        <v>11</v>
      </c>
      <c r="N198" s="170" t="s">
        <v>2051</v>
      </c>
      <c r="O198" s="181"/>
      <c r="P198" s="170" t="s">
        <v>2053</v>
      </c>
      <c r="Q198" s="176"/>
      <c r="R198" s="184"/>
      <c r="S198" s="170"/>
      <c r="T198" s="170"/>
      <c r="U198" s="170"/>
      <c r="V198" s="170"/>
      <c r="W198" s="170"/>
      <c r="X198" s="170"/>
      <c r="Y198" s="170"/>
      <c r="Z198" s="170"/>
      <c r="AA198" s="170"/>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row>
    <row r="199" spans="1:47" ht="15.75" customHeight="1">
      <c r="A199" s="170" t="s">
        <v>16</v>
      </c>
      <c r="B199" s="171" t="s">
        <v>587</v>
      </c>
      <c r="C199" s="170" t="s">
        <v>588</v>
      </c>
      <c r="D199" s="170" t="s">
        <v>600</v>
      </c>
      <c r="E199" s="178" t="s">
        <v>601</v>
      </c>
      <c r="F199" s="170" t="s">
        <v>1821</v>
      </c>
      <c r="G199" s="170" t="s">
        <v>62</v>
      </c>
      <c r="H199" s="170" t="s">
        <v>352</v>
      </c>
      <c r="I199" s="179">
        <v>1</v>
      </c>
      <c r="J199" s="170" t="s">
        <v>8</v>
      </c>
      <c r="K199" s="170"/>
      <c r="L199" s="525">
        <v>2023</v>
      </c>
      <c r="M199" s="170" t="s">
        <v>11</v>
      </c>
      <c r="N199" s="170" t="s">
        <v>2051</v>
      </c>
      <c r="O199" s="181"/>
      <c r="P199" s="170"/>
      <c r="Q199" s="176"/>
      <c r="R199" s="184"/>
      <c r="S199" s="170"/>
      <c r="T199" s="170"/>
      <c r="U199" s="170"/>
      <c r="V199" s="170"/>
      <c r="W199" s="170"/>
      <c r="X199" s="170"/>
      <c r="Y199" s="170"/>
      <c r="Z199" s="170"/>
      <c r="AA199" s="170"/>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row>
    <row r="200" spans="1:47" ht="15.75" customHeight="1">
      <c r="A200" s="170" t="s">
        <v>16</v>
      </c>
      <c r="B200" s="171" t="s">
        <v>587</v>
      </c>
      <c r="C200" s="170" t="s">
        <v>588</v>
      </c>
      <c r="D200" s="170" t="s">
        <v>602</v>
      </c>
      <c r="E200" s="178" t="s">
        <v>603</v>
      </c>
      <c r="F200" s="170" t="s">
        <v>1821</v>
      </c>
      <c r="G200" s="170" t="s">
        <v>62</v>
      </c>
      <c r="H200" s="170" t="s">
        <v>352</v>
      </c>
      <c r="I200" s="179">
        <v>1</v>
      </c>
      <c r="J200" s="170" t="s">
        <v>8</v>
      </c>
      <c r="K200" s="170"/>
      <c r="L200" s="525">
        <v>2023</v>
      </c>
      <c r="M200" s="170" t="s">
        <v>11</v>
      </c>
      <c r="N200" s="170" t="s">
        <v>2051</v>
      </c>
      <c r="O200" s="181"/>
      <c r="P200" s="170"/>
      <c r="Q200" s="176"/>
      <c r="R200" s="184"/>
      <c r="S200" s="170"/>
      <c r="T200" s="170"/>
      <c r="U200" s="170"/>
      <c r="V200" s="170"/>
      <c r="W200" s="170"/>
      <c r="X200" s="170"/>
      <c r="Y200" s="170"/>
      <c r="Z200" s="170"/>
      <c r="AA200" s="170"/>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row>
    <row r="201" spans="1:47" ht="15.75" customHeight="1">
      <c r="A201" s="170" t="s">
        <v>16</v>
      </c>
      <c r="B201" s="171" t="s">
        <v>587</v>
      </c>
      <c r="C201" s="170" t="s">
        <v>588</v>
      </c>
      <c r="D201" s="170" t="s">
        <v>604</v>
      </c>
      <c r="E201" s="178" t="s">
        <v>605</v>
      </c>
      <c r="F201" s="170" t="s">
        <v>1821</v>
      </c>
      <c r="G201" s="170" t="s">
        <v>62</v>
      </c>
      <c r="H201" s="170" t="s">
        <v>352</v>
      </c>
      <c r="I201" s="179">
        <v>1</v>
      </c>
      <c r="J201" s="170" t="s">
        <v>8</v>
      </c>
      <c r="K201" s="170"/>
      <c r="L201" s="525">
        <v>2023</v>
      </c>
      <c r="M201" s="170" t="s">
        <v>11</v>
      </c>
      <c r="N201" s="170" t="s">
        <v>2051</v>
      </c>
      <c r="O201" s="181"/>
      <c r="P201" s="170"/>
      <c r="Q201" s="176"/>
      <c r="R201" s="184"/>
      <c r="S201" s="170"/>
      <c r="T201" s="170"/>
      <c r="U201" s="170"/>
      <c r="V201" s="170"/>
      <c r="W201" s="170"/>
      <c r="X201" s="170"/>
      <c r="Y201" s="170"/>
      <c r="Z201" s="170"/>
      <c r="AA201" s="170"/>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row>
    <row r="202" spans="1:47" ht="15.75" customHeight="1">
      <c r="A202" s="170" t="s">
        <v>16</v>
      </c>
      <c r="B202" s="171" t="s">
        <v>587</v>
      </c>
      <c r="C202" s="170" t="s">
        <v>588</v>
      </c>
      <c r="D202" s="170" t="s">
        <v>606</v>
      </c>
      <c r="E202" s="178" t="s">
        <v>607</v>
      </c>
      <c r="F202" s="170" t="s">
        <v>1821</v>
      </c>
      <c r="G202" s="170" t="s">
        <v>62</v>
      </c>
      <c r="H202" s="170" t="s">
        <v>352</v>
      </c>
      <c r="I202" s="179">
        <v>1</v>
      </c>
      <c r="J202" s="170" t="s">
        <v>8</v>
      </c>
      <c r="K202" s="170"/>
      <c r="L202" s="525">
        <v>2023</v>
      </c>
      <c r="M202" s="170" t="s">
        <v>11</v>
      </c>
      <c r="N202" s="170" t="s">
        <v>2051</v>
      </c>
      <c r="O202" s="181"/>
      <c r="P202" s="170"/>
      <c r="Q202" s="176"/>
      <c r="R202" s="184"/>
      <c r="S202" s="170"/>
      <c r="T202" s="170"/>
      <c r="U202" s="170"/>
      <c r="V202" s="170"/>
      <c r="W202" s="170"/>
      <c r="X202" s="170"/>
      <c r="Y202" s="170"/>
      <c r="Z202" s="170"/>
      <c r="AA202" s="170"/>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row>
    <row r="203" spans="1:47" ht="15.75" customHeight="1">
      <c r="A203" s="170" t="s">
        <v>16</v>
      </c>
      <c r="B203" s="171" t="s">
        <v>587</v>
      </c>
      <c r="C203" s="170" t="s">
        <v>588</v>
      </c>
      <c r="D203" s="170" t="s">
        <v>608</v>
      </c>
      <c r="E203" s="178" t="s">
        <v>609</v>
      </c>
      <c r="F203" s="170" t="s">
        <v>1821</v>
      </c>
      <c r="G203" s="170" t="s">
        <v>62</v>
      </c>
      <c r="H203" s="170" t="s">
        <v>352</v>
      </c>
      <c r="I203" s="179">
        <v>1</v>
      </c>
      <c r="J203" s="170" t="s">
        <v>8</v>
      </c>
      <c r="K203" s="170"/>
      <c r="L203" s="525">
        <v>2023</v>
      </c>
      <c r="M203" s="170" t="s">
        <v>11</v>
      </c>
      <c r="N203" s="170" t="s">
        <v>2051</v>
      </c>
      <c r="O203" s="181"/>
      <c r="P203" s="170"/>
      <c r="Q203" s="176"/>
      <c r="R203" s="184"/>
      <c r="S203" s="170"/>
      <c r="T203" s="170"/>
      <c r="U203" s="170"/>
      <c r="V203" s="170"/>
      <c r="W203" s="170"/>
      <c r="X203" s="170"/>
      <c r="Y203" s="170"/>
      <c r="Z203" s="170"/>
      <c r="AA203" s="170"/>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row>
    <row r="204" spans="1:47" ht="15.75" customHeight="1">
      <c r="A204" s="170" t="s">
        <v>16</v>
      </c>
      <c r="B204" s="171" t="s">
        <v>587</v>
      </c>
      <c r="C204" s="170" t="s">
        <v>588</v>
      </c>
      <c r="D204" s="170" t="s">
        <v>610</v>
      </c>
      <c r="E204" s="170" t="s">
        <v>611</v>
      </c>
      <c r="F204" s="170" t="s">
        <v>1821</v>
      </c>
      <c r="G204" s="170" t="s">
        <v>62</v>
      </c>
      <c r="H204" s="170" t="s">
        <v>612</v>
      </c>
      <c r="I204" s="170" t="s">
        <v>110</v>
      </c>
      <c r="J204" s="170" t="s">
        <v>8</v>
      </c>
      <c r="K204" s="170" t="s">
        <v>2058</v>
      </c>
      <c r="L204" s="525">
        <v>2023</v>
      </c>
      <c r="M204" s="170" t="s">
        <v>11</v>
      </c>
      <c r="N204" s="170" t="s">
        <v>2059</v>
      </c>
      <c r="O204" s="181"/>
      <c r="P204" s="170" t="s">
        <v>2060</v>
      </c>
      <c r="Q204" s="176"/>
      <c r="R204" s="184"/>
      <c r="S204" s="170"/>
      <c r="T204" s="170"/>
      <c r="U204" s="170"/>
      <c r="V204" s="170"/>
      <c r="W204" s="170"/>
      <c r="X204" s="170"/>
      <c r="Y204" s="170"/>
      <c r="Z204" s="170"/>
      <c r="AA204" s="170"/>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row>
    <row r="205" spans="1:47" ht="15.75" hidden="1" customHeight="1">
      <c r="A205" s="188" t="s">
        <v>16</v>
      </c>
      <c r="B205" s="229" t="s">
        <v>587</v>
      </c>
      <c r="C205" s="188" t="s">
        <v>613</v>
      </c>
      <c r="D205" s="188" t="s">
        <v>614</v>
      </c>
      <c r="E205" s="188" t="s">
        <v>615</v>
      </c>
      <c r="F205" s="188"/>
      <c r="G205" s="188" t="s">
        <v>71</v>
      </c>
      <c r="H205" s="188" t="s">
        <v>616</v>
      </c>
      <c r="I205" s="195">
        <v>1</v>
      </c>
      <c r="J205" s="188"/>
      <c r="K205" s="188"/>
      <c r="L205" s="192"/>
      <c r="M205" s="188"/>
      <c r="N205" s="188"/>
      <c r="O205" s="193"/>
      <c r="P205" s="188"/>
      <c r="Q205" s="176"/>
      <c r="R205" s="194"/>
      <c r="S205" s="188"/>
      <c r="T205" s="188"/>
      <c r="U205" s="188"/>
      <c r="V205" s="188"/>
      <c r="W205" s="188"/>
      <c r="X205" s="188"/>
      <c r="Y205" s="188"/>
      <c r="Z205" s="188"/>
      <c r="AA205" s="188"/>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row>
    <row r="206" spans="1:47" ht="15.75" customHeight="1">
      <c r="A206" s="170" t="s">
        <v>16</v>
      </c>
      <c r="B206" s="171" t="s">
        <v>587</v>
      </c>
      <c r="C206" s="170" t="s">
        <v>613</v>
      </c>
      <c r="D206" s="170" t="s">
        <v>617</v>
      </c>
      <c r="E206" s="170" t="s">
        <v>615</v>
      </c>
      <c r="F206" s="170" t="s">
        <v>1821</v>
      </c>
      <c r="G206" s="170" t="s">
        <v>58</v>
      </c>
      <c r="H206" s="170" t="s">
        <v>428</v>
      </c>
      <c r="I206" s="179">
        <v>1</v>
      </c>
      <c r="J206" s="170" t="s">
        <v>8</v>
      </c>
      <c r="K206" s="170"/>
      <c r="L206" s="525">
        <v>2023</v>
      </c>
      <c r="M206" s="170" t="s">
        <v>10</v>
      </c>
      <c r="N206" s="170" t="s">
        <v>2061</v>
      </c>
      <c r="O206" s="181"/>
      <c r="P206" s="170"/>
      <c r="Q206" s="176"/>
      <c r="R206" s="184"/>
      <c r="S206" s="170"/>
      <c r="T206" s="170"/>
      <c r="U206" s="170"/>
      <c r="V206" s="170"/>
      <c r="W206" s="170"/>
      <c r="X206" s="170"/>
      <c r="Y206" s="170"/>
      <c r="Z206" s="170"/>
      <c r="AA206" s="170"/>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row>
    <row r="207" spans="1:47" ht="15.75" hidden="1" customHeight="1">
      <c r="A207" s="170" t="s">
        <v>16</v>
      </c>
      <c r="B207" s="171" t="s">
        <v>587</v>
      </c>
      <c r="C207" s="170" t="s">
        <v>613</v>
      </c>
      <c r="D207" s="170" t="s">
        <v>618</v>
      </c>
      <c r="E207" s="170" t="s">
        <v>619</v>
      </c>
      <c r="F207" s="170"/>
      <c r="G207" s="170" t="s">
        <v>71</v>
      </c>
      <c r="H207" s="170" t="s">
        <v>432</v>
      </c>
      <c r="I207" s="170">
        <v>2030</v>
      </c>
      <c r="J207" s="170"/>
      <c r="K207" s="170"/>
      <c r="L207" s="180"/>
      <c r="M207" s="170"/>
      <c r="N207" s="170"/>
      <c r="O207" s="181"/>
      <c r="P207" s="170"/>
      <c r="Q207" s="176"/>
      <c r="R207" s="184"/>
      <c r="S207" s="170"/>
      <c r="T207" s="170"/>
      <c r="U207" s="170"/>
      <c r="V207" s="170"/>
      <c r="W207" s="170"/>
      <c r="X207" s="170"/>
      <c r="Y207" s="170"/>
      <c r="Z207" s="170"/>
      <c r="AA207" s="170"/>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row>
    <row r="208" spans="1:47" ht="15.75" customHeight="1">
      <c r="A208" s="170" t="s">
        <v>16</v>
      </c>
      <c r="B208" s="171" t="s">
        <v>587</v>
      </c>
      <c r="C208" s="170" t="s">
        <v>620</v>
      </c>
      <c r="D208" s="170" t="s">
        <v>621</v>
      </c>
      <c r="E208" s="170" t="s">
        <v>622</v>
      </c>
      <c r="F208" s="170" t="s">
        <v>1816</v>
      </c>
      <c r="G208" s="170" t="s">
        <v>58</v>
      </c>
      <c r="H208" s="170" t="s">
        <v>623</v>
      </c>
      <c r="I208" s="179">
        <v>1</v>
      </c>
      <c r="J208" s="170" t="s">
        <v>8</v>
      </c>
      <c r="K208" s="170" t="s">
        <v>2062</v>
      </c>
      <c r="L208" s="525">
        <v>2023</v>
      </c>
      <c r="M208" s="170" t="s">
        <v>11</v>
      </c>
      <c r="N208" s="170" t="s">
        <v>2037</v>
      </c>
      <c r="O208" s="181"/>
      <c r="P208" s="170"/>
      <c r="Q208" s="176"/>
      <c r="R208" s="184"/>
      <c r="S208" s="170"/>
      <c r="T208" s="170"/>
      <c r="U208" s="170"/>
      <c r="V208" s="170"/>
      <c r="W208" s="170"/>
      <c r="X208" s="170"/>
      <c r="Y208" s="170"/>
      <c r="Z208" s="170"/>
      <c r="AA208" s="170"/>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row>
    <row r="209" spans="1:47" ht="15.75" customHeight="1">
      <c r="A209" s="170" t="s">
        <v>16</v>
      </c>
      <c r="B209" s="171" t="s">
        <v>587</v>
      </c>
      <c r="C209" s="170" t="s">
        <v>624</v>
      </c>
      <c r="D209" s="170" t="s">
        <v>625</v>
      </c>
      <c r="E209" s="170" t="s">
        <v>626</v>
      </c>
      <c r="F209" s="170" t="s">
        <v>1821</v>
      </c>
      <c r="G209" s="170" t="s">
        <v>62</v>
      </c>
      <c r="H209" s="170" t="s">
        <v>627</v>
      </c>
      <c r="I209" s="179">
        <v>0.5</v>
      </c>
      <c r="J209" s="170" t="s">
        <v>8</v>
      </c>
      <c r="K209" s="170" t="s">
        <v>1</v>
      </c>
      <c r="L209" s="525">
        <v>2023</v>
      </c>
      <c r="M209" s="170" t="s">
        <v>10</v>
      </c>
      <c r="N209" s="170" t="s">
        <v>2063</v>
      </c>
      <c r="O209" s="181"/>
      <c r="P209" s="170" t="s">
        <v>2064</v>
      </c>
      <c r="Q209" s="176"/>
      <c r="R209" s="184"/>
      <c r="S209" s="170"/>
      <c r="T209" s="170"/>
      <c r="U209" s="170"/>
      <c r="V209" s="170"/>
      <c r="W209" s="170"/>
      <c r="X209" s="170"/>
      <c r="Y209" s="170"/>
      <c r="Z209" s="170"/>
      <c r="AA209" s="170"/>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row>
    <row r="210" spans="1:47" ht="15.75" customHeight="1">
      <c r="A210" s="170" t="s">
        <v>16</v>
      </c>
      <c r="B210" s="171" t="s">
        <v>587</v>
      </c>
      <c r="C210" s="170" t="s">
        <v>624</v>
      </c>
      <c r="D210" s="170" t="s">
        <v>628</v>
      </c>
      <c r="E210" s="170" t="s">
        <v>629</v>
      </c>
      <c r="F210" s="170" t="s">
        <v>1821</v>
      </c>
      <c r="G210" s="170" t="s">
        <v>62</v>
      </c>
      <c r="H210" s="170" t="s">
        <v>476</v>
      </c>
      <c r="I210" s="170" t="s">
        <v>210</v>
      </c>
      <c r="J210" s="170" t="s">
        <v>8</v>
      </c>
      <c r="K210" s="170" t="s">
        <v>1</v>
      </c>
      <c r="L210" s="525">
        <v>2023</v>
      </c>
      <c r="M210" s="170" t="s">
        <v>10</v>
      </c>
      <c r="N210" s="170" t="s">
        <v>2063</v>
      </c>
      <c r="O210" s="181"/>
      <c r="P210" s="170" t="s">
        <v>2064</v>
      </c>
      <c r="Q210" s="176"/>
      <c r="R210" s="184"/>
      <c r="S210" s="170"/>
      <c r="T210" s="170"/>
      <c r="U210" s="170"/>
      <c r="V210" s="170"/>
      <c r="W210" s="170"/>
      <c r="X210" s="170"/>
      <c r="Y210" s="170"/>
      <c r="Z210" s="170"/>
      <c r="AA210" s="170"/>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row>
    <row r="211" spans="1:47" ht="15.75" customHeight="1">
      <c r="A211" s="170" t="s">
        <v>16</v>
      </c>
      <c r="B211" s="171" t="s">
        <v>587</v>
      </c>
      <c r="C211" s="170" t="s">
        <v>624</v>
      </c>
      <c r="D211" s="170" t="s">
        <v>630</v>
      </c>
      <c r="E211" s="170" t="s">
        <v>631</v>
      </c>
      <c r="F211" s="170" t="s">
        <v>1821</v>
      </c>
      <c r="G211" s="170" t="s">
        <v>62</v>
      </c>
      <c r="H211" s="170" t="s">
        <v>476</v>
      </c>
      <c r="I211" s="170" t="s">
        <v>210</v>
      </c>
      <c r="J211" s="170" t="s">
        <v>8</v>
      </c>
      <c r="K211" s="170"/>
      <c r="L211" s="525">
        <v>2023</v>
      </c>
      <c r="M211" s="170" t="s">
        <v>9</v>
      </c>
      <c r="N211" s="170" t="s">
        <v>2065</v>
      </c>
      <c r="O211" s="181"/>
      <c r="P211" s="170"/>
      <c r="Q211" s="176"/>
      <c r="R211" s="184"/>
      <c r="S211" s="170"/>
      <c r="T211" s="170"/>
      <c r="U211" s="170"/>
      <c r="V211" s="170"/>
      <c r="W211" s="170"/>
      <c r="X211" s="170"/>
      <c r="Y211" s="170"/>
      <c r="Z211" s="170"/>
      <c r="AA211" s="170"/>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row>
    <row r="212" spans="1:47" ht="15.75" customHeight="1">
      <c r="A212" s="170" t="s">
        <v>16</v>
      </c>
      <c r="B212" s="171" t="s">
        <v>587</v>
      </c>
      <c r="C212" s="170" t="s">
        <v>624</v>
      </c>
      <c r="D212" s="170" t="s">
        <v>632</v>
      </c>
      <c r="E212" s="170" t="s">
        <v>633</v>
      </c>
      <c r="F212" s="170" t="s">
        <v>1821</v>
      </c>
      <c r="G212" s="170" t="s">
        <v>62</v>
      </c>
      <c r="H212" s="170" t="s">
        <v>634</v>
      </c>
      <c r="I212" s="179">
        <v>1</v>
      </c>
      <c r="J212" s="170" t="s">
        <v>8</v>
      </c>
      <c r="K212" s="170"/>
      <c r="L212" s="525">
        <v>2023</v>
      </c>
      <c r="M212" s="170" t="s">
        <v>10</v>
      </c>
      <c r="N212" s="170" t="s">
        <v>2066</v>
      </c>
      <c r="O212" s="181"/>
      <c r="P212" s="170"/>
      <c r="Q212" s="176"/>
      <c r="R212" s="184"/>
      <c r="S212" s="170"/>
      <c r="T212" s="170"/>
      <c r="U212" s="170"/>
      <c r="V212" s="170"/>
      <c r="W212" s="170"/>
      <c r="X212" s="170"/>
      <c r="Y212" s="170"/>
      <c r="Z212" s="170"/>
      <c r="AA212" s="170"/>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row>
    <row r="213" spans="1:47" ht="15.75" hidden="1" customHeight="1">
      <c r="A213" s="170" t="s">
        <v>16</v>
      </c>
      <c r="B213" s="171" t="s">
        <v>587</v>
      </c>
      <c r="C213" s="170" t="s">
        <v>624</v>
      </c>
      <c r="D213" s="170" t="s">
        <v>635</v>
      </c>
      <c r="E213" s="170" t="s">
        <v>636</v>
      </c>
      <c r="F213" s="170"/>
      <c r="G213" s="170" t="s">
        <v>71</v>
      </c>
      <c r="H213" s="170" t="s">
        <v>637</v>
      </c>
      <c r="I213" s="170" t="s">
        <v>638</v>
      </c>
      <c r="J213" s="170"/>
      <c r="K213" s="170"/>
      <c r="L213" s="180"/>
      <c r="M213" s="170"/>
      <c r="N213" s="170"/>
      <c r="O213" s="181"/>
      <c r="P213" s="170"/>
      <c r="Q213" s="176"/>
      <c r="R213" s="184"/>
      <c r="S213" s="170"/>
      <c r="T213" s="170"/>
      <c r="U213" s="170"/>
      <c r="V213" s="170"/>
      <c r="W213" s="170"/>
      <c r="X213" s="170"/>
      <c r="Y213" s="170"/>
      <c r="Z213" s="170"/>
      <c r="AA213" s="170"/>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row>
    <row r="214" spans="1:47" ht="15.75" hidden="1" customHeight="1">
      <c r="A214" s="230" t="s">
        <v>639</v>
      </c>
      <c r="B214" s="231"/>
      <c r="C214" s="232"/>
      <c r="D214" s="232"/>
      <c r="E214" s="232"/>
      <c r="F214" s="232"/>
      <c r="G214" s="232"/>
      <c r="H214" s="232"/>
      <c r="I214" s="232"/>
      <c r="J214" s="232"/>
      <c r="K214" s="232"/>
      <c r="L214" s="532"/>
      <c r="M214" s="232"/>
      <c r="N214" s="232"/>
      <c r="O214" s="232"/>
      <c r="P214" s="233"/>
      <c r="Q214" s="234"/>
      <c r="R214" s="235"/>
      <c r="S214" s="232"/>
      <c r="T214" s="232"/>
      <c r="U214" s="232"/>
      <c r="V214" s="232"/>
      <c r="W214" s="232"/>
      <c r="X214" s="232"/>
      <c r="Y214" s="232"/>
      <c r="Z214" s="232"/>
      <c r="AA214" s="23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row>
    <row r="215" spans="1:47" ht="15.75" customHeight="1">
      <c r="A215" s="170" t="s">
        <v>18</v>
      </c>
      <c r="B215" s="171" t="s">
        <v>54</v>
      </c>
      <c r="C215" s="170" t="s">
        <v>640</v>
      </c>
      <c r="D215" s="170" t="s">
        <v>641</v>
      </c>
      <c r="E215" s="170" t="s">
        <v>642</v>
      </c>
      <c r="F215" s="170" t="s">
        <v>1821</v>
      </c>
      <c r="G215" s="170" t="s">
        <v>62</v>
      </c>
      <c r="H215" s="170" t="s">
        <v>484</v>
      </c>
      <c r="I215" s="170" t="s">
        <v>485</v>
      </c>
      <c r="J215" s="170" t="s">
        <v>8</v>
      </c>
      <c r="K215" s="170" t="s">
        <v>2067</v>
      </c>
      <c r="L215" s="525">
        <v>2023</v>
      </c>
      <c r="M215" s="170" t="s">
        <v>10</v>
      </c>
      <c r="N215" s="170" t="s">
        <v>1834</v>
      </c>
      <c r="O215" s="181"/>
      <c r="P215" s="170"/>
      <c r="Q215" s="176"/>
      <c r="R215" s="184"/>
      <c r="S215" s="170"/>
      <c r="T215" s="170"/>
      <c r="U215" s="170"/>
      <c r="V215" s="170"/>
      <c r="W215" s="170"/>
      <c r="X215" s="170"/>
      <c r="Y215" s="170"/>
      <c r="Z215" s="170"/>
      <c r="AA215" s="170"/>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row>
    <row r="216" spans="1:47" ht="15.75" customHeight="1">
      <c r="A216" s="170" t="s">
        <v>18</v>
      </c>
      <c r="B216" s="171" t="s">
        <v>54</v>
      </c>
      <c r="C216" s="170" t="s">
        <v>643</v>
      </c>
      <c r="D216" s="170" t="s">
        <v>644</v>
      </c>
      <c r="E216" s="170" t="s">
        <v>645</v>
      </c>
      <c r="F216" s="170" t="s">
        <v>1929</v>
      </c>
      <c r="G216" s="170" t="s">
        <v>62</v>
      </c>
      <c r="H216" s="170" t="s">
        <v>646</v>
      </c>
      <c r="I216" s="170" t="s">
        <v>85</v>
      </c>
      <c r="J216" s="170" t="s">
        <v>8</v>
      </c>
      <c r="K216" s="170"/>
      <c r="L216" s="525">
        <v>2023</v>
      </c>
      <c r="M216" s="170" t="s">
        <v>10</v>
      </c>
      <c r="N216" s="170" t="s">
        <v>2068</v>
      </c>
      <c r="O216" s="181"/>
      <c r="P216" s="170"/>
      <c r="Q216" s="176"/>
      <c r="R216" s="184"/>
      <c r="S216" s="170"/>
      <c r="T216" s="170"/>
      <c r="U216" s="170"/>
      <c r="V216" s="170"/>
      <c r="W216" s="170"/>
      <c r="X216" s="170"/>
      <c r="Y216" s="170"/>
      <c r="Z216" s="170"/>
      <c r="AA216" s="170"/>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row>
    <row r="217" spans="1:47" ht="15.75" hidden="1" customHeight="1">
      <c r="A217" s="170" t="s">
        <v>18</v>
      </c>
      <c r="B217" s="171" t="s">
        <v>54</v>
      </c>
      <c r="C217" s="170" t="s">
        <v>643</v>
      </c>
      <c r="D217" s="170" t="s">
        <v>647</v>
      </c>
      <c r="E217" s="170" t="s">
        <v>648</v>
      </c>
      <c r="F217" s="170"/>
      <c r="G217" s="170" t="s">
        <v>71</v>
      </c>
      <c r="H217" s="170" t="s">
        <v>649</v>
      </c>
      <c r="I217" s="179">
        <v>1</v>
      </c>
      <c r="J217" s="170"/>
      <c r="K217" s="170"/>
      <c r="L217" s="180"/>
      <c r="M217" s="170"/>
      <c r="N217" s="170"/>
      <c r="O217" s="181"/>
      <c r="P217" s="170"/>
      <c r="Q217" s="176"/>
      <c r="R217" s="184"/>
      <c r="S217" s="170"/>
      <c r="T217" s="170"/>
      <c r="U217" s="170"/>
      <c r="V217" s="170"/>
      <c r="W217" s="170"/>
      <c r="X217" s="170"/>
      <c r="Y217" s="170"/>
      <c r="Z217" s="170"/>
      <c r="AA217" s="170"/>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row>
    <row r="218" spans="1:47" ht="15.75" hidden="1" customHeight="1">
      <c r="A218" s="170" t="s">
        <v>18</v>
      </c>
      <c r="B218" s="171" t="s">
        <v>54</v>
      </c>
      <c r="C218" s="170" t="s">
        <v>643</v>
      </c>
      <c r="D218" s="170" t="s">
        <v>650</v>
      </c>
      <c r="E218" s="170" t="s">
        <v>651</v>
      </c>
      <c r="F218" s="170"/>
      <c r="G218" s="170" t="s">
        <v>71</v>
      </c>
      <c r="H218" s="170" t="s">
        <v>652</v>
      </c>
      <c r="I218" s="179">
        <v>1</v>
      </c>
      <c r="J218" s="170"/>
      <c r="K218" s="170"/>
      <c r="L218" s="180"/>
      <c r="M218" s="170"/>
      <c r="N218" s="170"/>
      <c r="O218" s="181"/>
      <c r="P218" s="170"/>
      <c r="Q218" s="176"/>
      <c r="R218" s="184"/>
      <c r="S218" s="170"/>
      <c r="T218" s="170"/>
      <c r="U218" s="170"/>
      <c r="V218" s="170"/>
      <c r="W218" s="170"/>
      <c r="X218" s="170"/>
      <c r="Y218" s="170"/>
      <c r="Z218" s="170"/>
      <c r="AA218" s="170"/>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row>
    <row r="219" spans="1:47" ht="15.75" hidden="1" customHeight="1">
      <c r="A219" s="170" t="s">
        <v>18</v>
      </c>
      <c r="B219" s="171" t="s">
        <v>54</v>
      </c>
      <c r="C219" s="170" t="s">
        <v>643</v>
      </c>
      <c r="D219" s="170" t="s">
        <v>653</v>
      </c>
      <c r="E219" s="170" t="s">
        <v>654</v>
      </c>
      <c r="F219" s="170"/>
      <c r="G219" s="170" t="s">
        <v>71</v>
      </c>
      <c r="H219" s="170" t="s">
        <v>655</v>
      </c>
      <c r="I219" s="179">
        <v>1</v>
      </c>
      <c r="J219" s="170"/>
      <c r="K219" s="170"/>
      <c r="L219" s="180"/>
      <c r="M219" s="170"/>
      <c r="N219" s="170"/>
      <c r="O219" s="181"/>
      <c r="P219" s="170"/>
      <c r="Q219" s="176"/>
      <c r="R219" s="184"/>
      <c r="S219" s="170"/>
      <c r="T219" s="170"/>
      <c r="U219" s="170"/>
      <c r="V219" s="170"/>
      <c r="W219" s="170"/>
      <c r="X219" s="170"/>
      <c r="Y219" s="170"/>
      <c r="Z219" s="170"/>
      <c r="AA219" s="170"/>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row>
    <row r="220" spans="1:47" ht="15.75" customHeight="1">
      <c r="A220" s="170" t="s">
        <v>18</v>
      </c>
      <c r="B220" s="171" t="s">
        <v>54</v>
      </c>
      <c r="C220" s="170" t="s">
        <v>643</v>
      </c>
      <c r="D220" s="170" t="s">
        <v>656</v>
      </c>
      <c r="E220" s="170" t="s">
        <v>657</v>
      </c>
      <c r="F220" s="170" t="s">
        <v>1929</v>
      </c>
      <c r="G220" s="170" t="s">
        <v>62</v>
      </c>
      <c r="H220" s="170" t="s">
        <v>658</v>
      </c>
      <c r="I220" s="170" t="s">
        <v>659</v>
      </c>
      <c r="J220" s="170" t="s">
        <v>8</v>
      </c>
      <c r="K220" s="170"/>
      <c r="L220" s="525">
        <v>2023</v>
      </c>
      <c r="M220" s="170" t="s">
        <v>10</v>
      </c>
      <c r="N220" s="170" t="s">
        <v>2069</v>
      </c>
      <c r="O220" s="181"/>
      <c r="P220" s="170"/>
      <c r="Q220" s="176"/>
      <c r="R220" s="184"/>
      <c r="S220" s="170"/>
      <c r="T220" s="170"/>
      <c r="U220" s="170"/>
      <c r="V220" s="170"/>
      <c r="W220" s="170"/>
      <c r="X220" s="170"/>
      <c r="Y220" s="170"/>
      <c r="Z220" s="170"/>
      <c r="AA220" s="170"/>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row>
    <row r="221" spans="1:47" ht="15.75" customHeight="1">
      <c r="A221" s="170" t="s">
        <v>18</v>
      </c>
      <c r="B221" s="171" t="s">
        <v>54</v>
      </c>
      <c r="C221" s="170" t="s">
        <v>660</v>
      </c>
      <c r="D221" s="170" t="s">
        <v>661</v>
      </c>
      <c r="E221" s="170" t="s">
        <v>529</v>
      </c>
      <c r="F221" s="170" t="s">
        <v>1929</v>
      </c>
      <c r="G221" s="170" t="s">
        <v>62</v>
      </c>
      <c r="H221" s="170" t="s">
        <v>530</v>
      </c>
      <c r="I221" s="170" t="s">
        <v>135</v>
      </c>
      <c r="J221" s="170" t="s">
        <v>8</v>
      </c>
      <c r="K221" s="170" t="s">
        <v>2070</v>
      </c>
      <c r="L221" s="525">
        <v>2023</v>
      </c>
      <c r="M221" s="170" t="s">
        <v>10</v>
      </c>
      <c r="N221" s="170" t="s">
        <v>2027</v>
      </c>
      <c r="O221" s="181"/>
      <c r="P221" s="170" t="s">
        <v>2028</v>
      </c>
      <c r="Q221" s="176"/>
      <c r="R221" s="184"/>
      <c r="S221" s="170"/>
      <c r="T221" s="170"/>
      <c r="U221" s="170"/>
      <c r="V221" s="170"/>
      <c r="W221" s="170"/>
      <c r="X221" s="170"/>
      <c r="Y221" s="170"/>
      <c r="Z221" s="170"/>
      <c r="AA221" s="170"/>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row>
    <row r="222" spans="1:47" ht="15.75" customHeight="1">
      <c r="A222" s="170" t="s">
        <v>18</v>
      </c>
      <c r="B222" s="171" t="s">
        <v>54</v>
      </c>
      <c r="C222" s="170" t="s">
        <v>660</v>
      </c>
      <c r="D222" s="170" t="s">
        <v>662</v>
      </c>
      <c r="E222" s="170" t="s">
        <v>524</v>
      </c>
      <c r="F222" s="170" t="s">
        <v>1821</v>
      </c>
      <c r="G222" s="170" t="s">
        <v>62</v>
      </c>
      <c r="H222" s="170" t="s">
        <v>525</v>
      </c>
      <c r="I222" s="170" t="s">
        <v>526</v>
      </c>
      <c r="J222" s="170" t="s">
        <v>8</v>
      </c>
      <c r="K222" s="170" t="s">
        <v>2071</v>
      </c>
      <c r="L222" s="525">
        <v>2023</v>
      </c>
      <c r="M222" s="170" t="s">
        <v>10</v>
      </c>
      <c r="N222" s="170" t="s">
        <v>2025</v>
      </c>
      <c r="O222" s="181"/>
      <c r="P222" s="170"/>
      <c r="Q222" s="176"/>
      <c r="R222" s="184"/>
      <c r="S222" s="170"/>
      <c r="T222" s="170"/>
      <c r="U222" s="170"/>
      <c r="V222" s="170"/>
      <c r="W222" s="170"/>
      <c r="X222" s="170"/>
      <c r="Y222" s="170"/>
      <c r="Z222" s="170"/>
      <c r="AA222" s="170"/>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row>
    <row r="223" spans="1:47" ht="15.75" customHeight="1">
      <c r="A223" s="170" t="s">
        <v>18</v>
      </c>
      <c r="B223" s="171" t="s">
        <v>195</v>
      </c>
      <c r="C223" s="170" t="s">
        <v>663</v>
      </c>
      <c r="D223" s="170" t="s">
        <v>664</v>
      </c>
      <c r="E223" s="170" t="s">
        <v>665</v>
      </c>
      <c r="F223" s="170" t="s">
        <v>1929</v>
      </c>
      <c r="G223" s="170" t="s">
        <v>62</v>
      </c>
      <c r="H223" s="170" t="s">
        <v>666</v>
      </c>
      <c r="I223" s="170" t="s">
        <v>667</v>
      </c>
      <c r="J223" s="170" t="s">
        <v>8</v>
      </c>
      <c r="K223" s="236"/>
      <c r="L223" s="525">
        <v>2022</v>
      </c>
      <c r="M223" s="170" t="s">
        <v>9</v>
      </c>
      <c r="N223" s="170" t="s">
        <v>2072</v>
      </c>
      <c r="O223" s="181"/>
      <c r="P223" s="170"/>
      <c r="Q223" s="176"/>
      <c r="R223" s="184"/>
      <c r="S223" s="170"/>
      <c r="T223" s="170"/>
      <c r="U223" s="170"/>
      <c r="V223" s="170"/>
      <c r="W223" s="170"/>
      <c r="X223" s="170"/>
      <c r="Y223" s="170"/>
      <c r="Z223" s="170"/>
      <c r="AA223" s="170"/>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row>
    <row r="224" spans="1:47" ht="15.75" customHeight="1">
      <c r="A224" s="170" t="s">
        <v>18</v>
      </c>
      <c r="B224" s="171" t="s">
        <v>195</v>
      </c>
      <c r="C224" s="170" t="s">
        <v>663</v>
      </c>
      <c r="D224" s="170" t="s">
        <v>668</v>
      </c>
      <c r="E224" s="170" t="s">
        <v>669</v>
      </c>
      <c r="F224" s="170" t="s">
        <v>1929</v>
      </c>
      <c r="G224" s="170" t="s">
        <v>62</v>
      </c>
      <c r="H224" s="170" t="s">
        <v>670</v>
      </c>
      <c r="I224" s="170" t="s">
        <v>671</v>
      </c>
      <c r="J224" s="170" t="s">
        <v>8</v>
      </c>
      <c r="K224" s="170"/>
      <c r="L224" s="525">
        <v>2022</v>
      </c>
      <c r="M224" s="170" t="s">
        <v>10</v>
      </c>
      <c r="N224" s="170" t="s">
        <v>2073</v>
      </c>
      <c r="O224" s="181"/>
      <c r="P224" s="170"/>
      <c r="Q224" s="176"/>
      <c r="R224" s="184"/>
      <c r="S224" s="170"/>
      <c r="T224" s="170"/>
      <c r="U224" s="170"/>
      <c r="V224" s="170"/>
      <c r="W224" s="170"/>
      <c r="X224" s="170"/>
      <c r="Y224" s="170"/>
      <c r="Z224" s="170"/>
      <c r="AA224" s="170"/>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row>
    <row r="225" spans="1:47" ht="15.75" customHeight="1">
      <c r="A225" s="170" t="s">
        <v>18</v>
      </c>
      <c r="B225" s="171" t="s">
        <v>195</v>
      </c>
      <c r="C225" s="170" t="s">
        <v>663</v>
      </c>
      <c r="D225" s="170" t="s">
        <v>672</v>
      </c>
      <c r="E225" s="170" t="s">
        <v>673</v>
      </c>
      <c r="F225" s="170" t="s">
        <v>1821</v>
      </c>
      <c r="G225" s="170" t="s">
        <v>62</v>
      </c>
      <c r="H225" s="170" t="s">
        <v>537</v>
      </c>
      <c r="I225" s="170" t="s">
        <v>538</v>
      </c>
      <c r="J225" s="170" t="s">
        <v>8</v>
      </c>
      <c r="K225" s="170" t="s">
        <v>2074</v>
      </c>
      <c r="L225" s="533">
        <v>2023</v>
      </c>
      <c r="M225" s="170" t="s">
        <v>9</v>
      </c>
      <c r="N225" s="170" t="s">
        <v>2033</v>
      </c>
      <c r="O225" s="181"/>
      <c r="P225" s="170"/>
      <c r="Q225" s="176"/>
      <c r="R225" s="184"/>
      <c r="S225" s="170"/>
      <c r="T225" s="170"/>
      <c r="U225" s="170"/>
      <c r="V225" s="170"/>
      <c r="W225" s="170"/>
      <c r="X225" s="170"/>
      <c r="Y225" s="170"/>
      <c r="Z225" s="170"/>
      <c r="AA225" s="170"/>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row>
    <row r="226" spans="1:47" ht="15.75" customHeight="1">
      <c r="A226" s="170" t="s">
        <v>18</v>
      </c>
      <c r="B226" s="171" t="s">
        <v>195</v>
      </c>
      <c r="C226" s="170" t="s">
        <v>674</v>
      </c>
      <c r="D226" s="170" t="s">
        <v>675</v>
      </c>
      <c r="E226" s="170" t="s">
        <v>676</v>
      </c>
      <c r="F226" s="170" t="s">
        <v>1821</v>
      </c>
      <c r="G226" s="170" t="s">
        <v>62</v>
      </c>
      <c r="H226" s="170" t="s">
        <v>677</v>
      </c>
      <c r="I226" s="179">
        <v>1</v>
      </c>
      <c r="J226" s="170" t="s">
        <v>1191</v>
      </c>
      <c r="K226" s="170" t="s">
        <v>2075</v>
      </c>
      <c r="L226" s="525">
        <v>2023</v>
      </c>
      <c r="M226" s="170" t="s">
        <v>10</v>
      </c>
      <c r="N226" s="170" t="s">
        <v>2076</v>
      </c>
      <c r="P226" s="181" t="s">
        <v>2077</v>
      </c>
      <c r="Q226" s="176"/>
      <c r="R226" s="184"/>
      <c r="S226" s="170"/>
      <c r="T226" s="170"/>
      <c r="U226" s="170"/>
      <c r="V226" s="170"/>
      <c r="W226" s="170"/>
      <c r="X226" s="170"/>
      <c r="Y226" s="170"/>
      <c r="Z226" s="170"/>
      <c r="AA226" s="170"/>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row>
    <row r="227" spans="1:47" ht="15.75" customHeight="1">
      <c r="A227" s="170" t="s">
        <v>18</v>
      </c>
      <c r="B227" s="171" t="s">
        <v>195</v>
      </c>
      <c r="C227" s="170" t="s">
        <v>678</v>
      </c>
      <c r="D227" s="170" t="s">
        <v>679</v>
      </c>
      <c r="E227" s="170" t="s">
        <v>253</v>
      </c>
      <c r="F227" s="172"/>
      <c r="G227" s="172" t="s">
        <v>62</v>
      </c>
      <c r="H227" s="172"/>
      <c r="I227" s="173"/>
      <c r="J227" s="172"/>
      <c r="K227" s="172"/>
      <c r="L227" s="524"/>
      <c r="M227" s="172"/>
      <c r="N227" s="172"/>
      <c r="O227" s="175"/>
      <c r="P227" s="172"/>
      <c r="Q227" s="176"/>
      <c r="R227" s="177"/>
      <c r="S227" s="172"/>
      <c r="T227" s="172"/>
      <c r="U227" s="172"/>
      <c r="V227" s="172"/>
      <c r="W227" s="172"/>
      <c r="X227" s="172"/>
      <c r="Y227" s="172"/>
      <c r="Z227" s="172"/>
      <c r="AA227" s="17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row>
    <row r="228" spans="1:47" ht="82.5" customHeight="1">
      <c r="A228" s="170" t="s">
        <v>18</v>
      </c>
      <c r="B228" s="171" t="s">
        <v>195</v>
      </c>
      <c r="C228" s="170" t="s">
        <v>678</v>
      </c>
      <c r="D228" s="170" t="s">
        <v>680</v>
      </c>
      <c r="E228" s="178" t="s">
        <v>681</v>
      </c>
      <c r="F228" s="170" t="s">
        <v>1821</v>
      </c>
      <c r="G228" s="170" t="s">
        <v>62</v>
      </c>
      <c r="H228" s="170" t="s">
        <v>254</v>
      </c>
      <c r="I228" s="179">
        <v>1</v>
      </c>
      <c r="J228" s="170" t="s">
        <v>1090</v>
      </c>
      <c r="K228" s="170" t="s">
        <v>2036</v>
      </c>
      <c r="L228" s="533"/>
      <c r="M228" s="170"/>
      <c r="N228" s="170"/>
      <c r="O228" s="181"/>
      <c r="P228" s="170"/>
      <c r="Q228" s="176"/>
      <c r="R228" s="184"/>
      <c r="S228" s="170"/>
      <c r="T228" s="170"/>
      <c r="U228" s="170"/>
      <c r="V228" s="170"/>
      <c r="W228" s="170"/>
      <c r="X228" s="170"/>
      <c r="Y228" s="170"/>
      <c r="Z228" s="170"/>
      <c r="AA228" s="170"/>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row>
    <row r="229" spans="1:47" ht="15.75" customHeight="1">
      <c r="A229" s="170" t="s">
        <v>18</v>
      </c>
      <c r="B229" s="171" t="s">
        <v>195</v>
      </c>
      <c r="C229" s="170" t="s">
        <v>678</v>
      </c>
      <c r="D229" s="170" t="s">
        <v>682</v>
      </c>
      <c r="E229" s="178" t="s">
        <v>548</v>
      </c>
      <c r="F229" s="170" t="s">
        <v>1816</v>
      </c>
      <c r="G229" s="170" t="s">
        <v>62</v>
      </c>
      <c r="H229" s="170" t="s">
        <v>549</v>
      </c>
      <c r="I229" s="179">
        <v>1</v>
      </c>
      <c r="J229" s="170" t="s">
        <v>1191</v>
      </c>
      <c r="K229" s="170" t="s">
        <v>2075</v>
      </c>
      <c r="L229" s="525">
        <v>2023</v>
      </c>
      <c r="M229" s="170" t="s">
        <v>10</v>
      </c>
      <c r="N229" s="170" t="s">
        <v>2078</v>
      </c>
      <c r="P229" s="181" t="s">
        <v>2079</v>
      </c>
      <c r="Q229" s="176"/>
      <c r="R229" s="184"/>
      <c r="S229" s="170"/>
      <c r="T229" s="170"/>
      <c r="U229" s="170"/>
      <c r="V229" s="170"/>
      <c r="W229" s="170"/>
      <c r="X229" s="170"/>
      <c r="Y229" s="170"/>
      <c r="Z229" s="170"/>
      <c r="AA229" s="170"/>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row>
    <row r="230" spans="1:47" ht="15.75" customHeight="1">
      <c r="A230" s="170" t="s">
        <v>18</v>
      </c>
      <c r="B230" s="171" t="s">
        <v>195</v>
      </c>
      <c r="C230" s="170" t="s">
        <v>678</v>
      </c>
      <c r="D230" s="170" t="s">
        <v>683</v>
      </c>
      <c r="E230" s="178" t="s">
        <v>684</v>
      </c>
      <c r="F230" s="170" t="s">
        <v>1821</v>
      </c>
      <c r="G230" s="170" t="s">
        <v>62</v>
      </c>
      <c r="H230" s="170" t="s">
        <v>685</v>
      </c>
      <c r="I230" s="179">
        <v>1</v>
      </c>
      <c r="J230" s="170" t="s">
        <v>1191</v>
      </c>
      <c r="K230" s="170" t="s">
        <v>2075</v>
      </c>
      <c r="L230" s="525">
        <v>2023</v>
      </c>
      <c r="M230" s="170" t="s">
        <v>10</v>
      </c>
      <c r="N230" s="170" t="s">
        <v>2080</v>
      </c>
      <c r="P230" s="181" t="s">
        <v>2079</v>
      </c>
      <c r="Q230" s="176"/>
      <c r="R230" s="184"/>
      <c r="S230" s="170"/>
      <c r="T230" s="170"/>
      <c r="U230" s="170"/>
      <c r="V230" s="170"/>
      <c r="W230" s="170"/>
      <c r="X230" s="170"/>
      <c r="Y230" s="170"/>
      <c r="Z230" s="170"/>
      <c r="AA230" s="170"/>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row>
    <row r="231" spans="1:47" ht="15.75" customHeight="1">
      <c r="A231" s="170" t="s">
        <v>18</v>
      </c>
      <c r="B231" s="171" t="s">
        <v>195</v>
      </c>
      <c r="C231" s="170" t="s">
        <v>686</v>
      </c>
      <c r="D231" s="170" t="s">
        <v>687</v>
      </c>
      <c r="E231" s="170" t="s">
        <v>688</v>
      </c>
      <c r="F231" s="170" t="s">
        <v>1821</v>
      </c>
      <c r="G231" s="170" t="s">
        <v>62</v>
      </c>
      <c r="H231" s="170" t="s">
        <v>259</v>
      </c>
      <c r="I231" s="170" t="s">
        <v>210</v>
      </c>
      <c r="J231" s="170" t="s">
        <v>1090</v>
      </c>
      <c r="K231" s="170" t="s">
        <v>2040</v>
      </c>
      <c r="L231" s="525"/>
      <c r="M231" s="170"/>
      <c r="N231" s="170"/>
      <c r="O231" s="181"/>
      <c r="P231" s="170"/>
      <c r="Q231" s="176"/>
      <c r="R231" s="184"/>
      <c r="S231" s="170"/>
      <c r="T231" s="170"/>
      <c r="U231" s="170"/>
      <c r="V231" s="170"/>
      <c r="W231" s="170"/>
      <c r="X231" s="170"/>
      <c r="Y231" s="170"/>
      <c r="Z231" s="170"/>
      <c r="AA231" s="170"/>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row>
    <row r="232" spans="1:47" ht="15.75" customHeight="1">
      <c r="A232" s="170" t="s">
        <v>18</v>
      </c>
      <c r="B232" s="171" t="s">
        <v>274</v>
      </c>
      <c r="C232" s="170" t="s">
        <v>689</v>
      </c>
      <c r="D232" s="170" t="s">
        <v>690</v>
      </c>
      <c r="E232" s="170" t="s">
        <v>691</v>
      </c>
      <c r="F232" s="170" t="s">
        <v>1816</v>
      </c>
      <c r="G232" s="170" t="s">
        <v>62</v>
      </c>
      <c r="H232" s="170" t="s">
        <v>692</v>
      </c>
      <c r="I232" s="179">
        <v>1</v>
      </c>
      <c r="J232" s="170" t="s">
        <v>8</v>
      </c>
      <c r="K232" s="170" t="s">
        <v>2081</v>
      </c>
      <c r="L232" s="533">
        <v>2023</v>
      </c>
      <c r="M232" s="170" t="s">
        <v>10</v>
      </c>
      <c r="N232" s="181" t="s">
        <v>2041</v>
      </c>
      <c r="O232" s="181"/>
      <c r="P232" s="170"/>
      <c r="Q232" s="176"/>
      <c r="R232" s="184"/>
      <c r="S232" s="170"/>
      <c r="T232" s="170"/>
      <c r="U232" s="170"/>
      <c r="V232" s="170"/>
      <c r="W232" s="170"/>
      <c r="X232" s="170"/>
      <c r="Y232" s="170"/>
      <c r="Z232" s="170"/>
      <c r="AA232" s="170"/>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row>
    <row r="233" spans="1:47" ht="15.75" customHeight="1">
      <c r="A233" s="170" t="s">
        <v>18</v>
      </c>
      <c r="B233" s="171" t="s">
        <v>274</v>
      </c>
      <c r="C233" s="170" t="s">
        <v>693</v>
      </c>
      <c r="D233" s="170" t="s">
        <v>694</v>
      </c>
      <c r="E233" s="170" t="s">
        <v>695</v>
      </c>
      <c r="F233" s="170" t="s">
        <v>1821</v>
      </c>
      <c r="G233" s="170" t="s">
        <v>62</v>
      </c>
      <c r="H233" s="170" t="s">
        <v>696</v>
      </c>
      <c r="I233" s="170" t="s">
        <v>697</v>
      </c>
      <c r="J233" s="170" t="s">
        <v>1191</v>
      </c>
      <c r="K233" s="170" t="s">
        <v>2082</v>
      </c>
      <c r="L233" s="525">
        <v>2023</v>
      </c>
      <c r="M233" s="170" t="s">
        <v>10</v>
      </c>
      <c r="N233" s="170" t="s">
        <v>2044</v>
      </c>
      <c r="O233" s="181"/>
      <c r="P233" s="170"/>
      <c r="Q233" s="176"/>
      <c r="R233" s="184"/>
      <c r="S233" s="170"/>
      <c r="T233" s="170"/>
      <c r="U233" s="170"/>
      <c r="V233" s="170"/>
      <c r="W233" s="170"/>
      <c r="X233" s="170"/>
      <c r="Y233" s="170"/>
      <c r="Z233" s="170"/>
      <c r="AA233" s="170"/>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row>
    <row r="234" spans="1:47" ht="15.75" customHeight="1">
      <c r="A234" s="170" t="s">
        <v>18</v>
      </c>
      <c r="B234" s="171" t="s">
        <v>274</v>
      </c>
      <c r="C234" s="170" t="s">
        <v>693</v>
      </c>
      <c r="D234" s="170" t="s">
        <v>698</v>
      </c>
      <c r="E234" s="170" t="s">
        <v>699</v>
      </c>
      <c r="F234" s="170" t="s">
        <v>1821</v>
      </c>
      <c r="G234" s="170" t="s">
        <v>62</v>
      </c>
      <c r="H234" s="170" t="s">
        <v>700</v>
      </c>
      <c r="I234" s="170" t="s">
        <v>701</v>
      </c>
      <c r="J234" s="170" t="s">
        <v>1191</v>
      </c>
      <c r="K234" s="236" t="s">
        <v>2043</v>
      </c>
      <c r="L234" s="525" t="s">
        <v>3969</v>
      </c>
      <c r="M234" s="170" t="s">
        <v>10</v>
      </c>
      <c r="N234" s="170" t="s">
        <v>2044</v>
      </c>
      <c r="O234" s="181"/>
      <c r="P234" s="170"/>
      <c r="Q234" s="176"/>
      <c r="R234" s="184"/>
      <c r="S234" s="170"/>
      <c r="T234" s="170"/>
      <c r="U234" s="170"/>
      <c r="V234" s="170"/>
      <c r="W234" s="170"/>
      <c r="X234" s="170"/>
      <c r="Y234" s="170"/>
      <c r="Z234" s="170"/>
      <c r="AA234" s="170"/>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row>
    <row r="235" spans="1:47" ht="15.75" customHeight="1">
      <c r="A235" s="170" t="s">
        <v>18</v>
      </c>
      <c r="B235" s="171" t="s">
        <v>274</v>
      </c>
      <c r="C235" s="170" t="s">
        <v>693</v>
      </c>
      <c r="D235" s="170" t="s">
        <v>702</v>
      </c>
      <c r="E235" s="170" t="s">
        <v>579</v>
      </c>
      <c r="F235" s="170" t="s">
        <v>1821</v>
      </c>
      <c r="G235" s="170" t="s">
        <v>62</v>
      </c>
      <c r="H235" s="170" t="s">
        <v>703</v>
      </c>
      <c r="I235" s="170" t="s">
        <v>701</v>
      </c>
      <c r="J235" s="170" t="s">
        <v>8</v>
      </c>
      <c r="K235" s="170" t="s">
        <v>2048</v>
      </c>
      <c r="L235" s="525">
        <v>2023</v>
      </c>
      <c r="M235" s="170" t="s">
        <v>12</v>
      </c>
      <c r="N235" s="170" t="s">
        <v>2049</v>
      </c>
      <c r="O235" s="181"/>
      <c r="P235" s="170"/>
      <c r="Q235" s="176"/>
      <c r="R235" s="184"/>
      <c r="S235" s="170"/>
      <c r="T235" s="170"/>
      <c r="U235" s="170"/>
      <c r="V235" s="170"/>
      <c r="W235" s="170"/>
      <c r="X235" s="170"/>
      <c r="Y235" s="170"/>
      <c r="Z235" s="170"/>
      <c r="AA235" s="170"/>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row>
    <row r="236" spans="1:47" ht="15.75" hidden="1" customHeight="1">
      <c r="A236" s="172" t="s">
        <v>18</v>
      </c>
      <c r="B236" s="227" t="s">
        <v>274</v>
      </c>
      <c r="C236" s="172" t="s">
        <v>704</v>
      </c>
      <c r="D236" s="172" t="s">
        <v>582</v>
      </c>
      <c r="E236" s="172" t="s">
        <v>582</v>
      </c>
      <c r="F236" s="172" t="s">
        <v>582</v>
      </c>
      <c r="G236" s="172" t="s">
        <v>582</v>
      </c>
      <c r="H236" s="172" t="s">
        <v>582</v>
      </c>
      <c r="I236" s="172" t="s">
        <v>582</v>
      </c>
      <c r="J236" s="172" t="s">
        <v>582</v>
      </c>
      <c r="K236" s="172" t="s">
        <v>582</v>
      </c>
      <c r="L236" s="172" t="s">
        <v>582</v>
      </c>
      <c r="M236" s="172" t="s">
        <v>582</v>
      </c>
      <c r="N236" s="172" t="s">
        <v>582</v>
      </c>
      <c r="O236" s="172" t="s">
        <v>582</v>
      </c>
      <c r="P236" s="172" t="s">
        <v>582</v>
      </c>
      <c r="Q236" s="228"/>
      <c r="R236" s="177" t="s">
        <v>582</v>
      </c>
      <c r="S236" s="172" t="s">
        <v>582</v>
      </c>
      <c r="T236" s="172" t="s">
        <v>582</v>
      </c>
      <c r="U236" s="172"/>
      <c r="V236" s="172" t="s">
        <v>582</v>
      </c>
      <c r="W236" s="172" t="s">
        <v>582</v>
      </c>
      <c r="X236" s="172" t="s">
        <v>582</v>
      </c>
      <c r="Y236" s="172" t="s">
        <v>582</v>
      </c>
      <c r="Z236" s="172" t="s">
        <v>582</v>
      </c>
      <c r="AA236" s="172" t="s">
        <v>582</v>
      </c>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row>
    <row r="237" spans="1:47" ht="15.75" customHeight="1">
      <c r="A237" s="170" t="s">
        <v>18</v>
      </c>
      <c r="B237" s="171" t="s">
        <v>274</v>
      </c>
      <c r="C237" s="170" t="s">
        <v>705</v>
      </c>
      <c r="D237" s="170" t="s">
        <v>706</v>
      </c>
      <c r="E237" s="170" t="s">
        <v>707</v>
      </c>
      <c r="F237" s="170" t="s">
        <v>1824</v>
      </c>
      <c r="G237" s="170" t="s">
        <v>62</v>
      </c>
      <c r="H237" s="170" t="s">
        <v>708</v>
      </c>
      <c r="I237" s="179">
        <v>1</v>
      </c>
      <c r="J237" s="170" t="s">
        <v>8</v>
      </c>
      <c r="K237" s="170"/>
      <c r="L237" s="525"/>
      <c r="M237" s="170" t="s">
        <v>12</v>
      </c>
      <c r="N237" s="170" t="s">
        <v>2083</v>
      </c>
      <c r="O237" s="181"/>
      <c r="P237" s="170"/>
      <c r="Q237" s="176"/>
      <c r="R237" s="184"/>
      <c r="S237" s="170"/>
      <c r="T237" s="170"/>
      <c r="U237" s="170"/>
      <c r="V237" s="170"/>
      <c r="W237" s="170"/>
      <c r="X237" s="170"/>
      <c r="Y237" s="170"/>
      <c r="Z237" s="170"/>
      <c r="AA237" s="170"/>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row>
    <row r="238" spans="1:47" ht="15.75" customHeight="1">
      <c r="A238" s="170" t="s">
        <v>18</v>
      </c>
      <c r="B238" s="171" t="s">
        <v>274</v>
      </c>
      <c r="C238" s="170" t="s">
        <v>705</v>
      </c>
      <c r="D238" s="170" t="s">
        <v>709</v>
      </c>
      <c r="E238" s="170" t="s">
        <v>710</v>
      </c>
      <c r="F238" s="170" t="s">
        <v>1821</v>
      </c>
      <c r="G238" s="170" t="s">
        <v>62</v>
      </c>
      <c r="H238" s="170" t="s">
        <v>711</v>
      </c>
      <c r="I238" s="179">
        <v>1</v>
      </c>
      <c r="J238" s="170" t="s">
        <v>8</v>
      </c>
      <c r="K238" s="170" t="s">
        <v>2084</v>
      </c>
      <c r="L238" s="525"/>
      <c r="M238" s="170" t="s">
        <v>9</v>
      </c>
      <c r="N238" s="170" t="s">
        <v>2085</v>
      </c>
      <c r="O238" s="181"/>
      <c r="P238" s="170"/>
      <c r="Q238" s="176"/>
      <c r="R238" s="184"/>
      <c r="S238" s="170"/>
      <c r="T238" s="170"/>
      <c r="U238" s="170"/>
      <c r="V238" s="170"/>
      <c r="W238" s="170"/>
      <c r="X238" s="170"/>
      <c r="Y238" s="170"/>
      <c r="Z238" s="170"/>
      <c r="AA238" s="170"/>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row>
    <row r="239" spans="1:47" ht="15.75" customHeight="1">
      <c r="A239" s="170" t="s">
        <v>18</v>
      </c>
      <c r="B239" s="171" t="s">
        <v>274</v>
      </c>
      <c r="C239" s="170" t="s">
        <v>705</v>
      </c>
      <c r="D239" s="170" t="s">
        <v>712</v>
      </c>
      <c r="E239" s="170" t="s">
        <v>713</v>
      </c>
      <c r="F239" s="170" t="s">
        <v>1816</v>
      </c>
      <c r="G239" s="170" t="s">
        <v>62</v>
      </c>
      <c r="H239" s="170" t="s">
        <v>714</v>
      </c>
      <c r="I239" s="179">
        <v>1</v>
      </c>
      <c r="J239" s="170" t="s">
        <v>1191</v>
      </c>
      <c r="K239" s="170" t="s">
        <v>2086</v>
      </c>
      <c r="L239" s="525" t="s">
        <v>3967</v>
      </c>
      <c r="M239" s="170" t="s">
        <v>10</v>
      </c>
      <c r="N239" s="170" t="s">
        <v>2087</v>
      </c>
      <c r="O239" s="181"/>
      <c r="P239" s="170" t="s">
        <v>2088</v>
      </c>
      <c r="Q239" s="176"/>
      <c r="R239" s="184"/>
      <c r="S239" s="170"/>
      <c r="T239" s="170"/>
      <c r="U239" s="170"/>
      <c r="V239" s="170"/>
      <c r="W239" s="170"/>
      <c r="X239" s="170"/>
      <c r="Y239" s="170"/>
      <c r="Z239" s="170"/>
      <c r="AA239" s="170"/>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row>
    <row r="240" spans="1:47" ht="15.75" customHeight="1">
      <c r="A240" s="170" t="s">
        <v>18</v>
      </c>
      <c r="B240" s="171" t="s">
        <v>587</v>
      </c>
      <c r="C240" s="170" t="s">
        <v>715</v>
      </c>
      <c r="D240" s="170" t="s">
        <v>716</v>
      </c>
      <c r="E240" s="170" t="s">
        <v>717</v>
      </c>
      <c r="F240" s="170" t="s">
        <v>1821</v>
      </c>
      <c r="G240" s="170" t="s">
        <v>62</v>
      </c>
      <c r="H240" s="170" t="s">
        <v>591</v>
      </c>
      <c r="I240" s="179">
        <v>1</v>
      </c>
      <c r="J240" s="236" t="s">
        <v>8</v>
      </c>
      <c r="K240" s="237"/>
      <c r="L240" s="525">
        <v>2023</v>
      </c>
      <c r="M240" s="170" t="s">
        <v>11</v>
      </c>
      <c r="N240" s="170" t="s">
        <v>2051</v>
      </c>
      <c r="O240" s="181"/>
      <c r="P240" s="170"/>
      <c r="Q240" s="176"/>
      <c r="R240" s="184"/>
      <c r="S240" s="170"/>
      <c r="T240" s="170"/>
      <c r="U240" s="170"/>
      <c r="V240" s="170"/>
      <c r="W240" s="170"/>
      <c r="X240" s="170"/>
      <c r="Y240" s="170"/>
      <c r="Z240" s="170"/>
      <c r="AA240" s="170"/>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row>
    <row r="241" spans="1:47" ht="15.75" customHeight="1">
      <c r="A241" s="170" t="s">
        <v>18</v>
      </c>
      <c r="B241" s="171" t="s">
        <v>587</v>
      </c>
      <c r="C241" s="170" t="s">
        <v>715</v>
      </c>
      <c r="D241" s="170" t="s">
        <v>718</v>
      </c>
      <c r="E241" s="170" t="s">
        <v>719</v>
      </c>
      <c r="F241" s="172"/>
      <c r="G241" s="172" t="s">
        <v>62</v>
      </c>
      <c r="H241" s="172" t="s">
        <v>352</v>
      </c>
      <c r="I241" s="173">
        <v>1</v>
      </c>
      <c r="J241" s="172"/>
      <c r="K241" s="172"/>
      <c r="L241" s="524"/>
      <c r="M241" s="172"/>
      <c r="N241" s="172"/>
      <c r="O241" s="175"/>
      <c r="P241" s="172"/>
      <c r="Q241" s="176"/>
      <c r="R241" s="177"/>
      <c r="S241" s="172"/>
      <c r="T241" s="172"/>
      <c r="U241" s="172"/>
      <c r="V241" s="172"/>
      <c r="W241" s="172"/>
      <c r="X241" s="172"/>
      <c r="Y241" s="172"/>
      <c r="Z241" s="172"/>
      <c r="AA241" s="17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row>
    <row r="242" spans="1:47" ht="15.75" customHeight="1">
      <c r="A242" s="170" t="s">
        <v>18</v>
      </c>
      <c r="B242" s="171" t="s">
        <v>587</v>
      </c>
      <c r="C242" s="170" t="s">
        <v>715</v>
      </c>
      <c r="D242" s="170" t="s">
        <v>720</v>
      </c>
      <c r="E242" s="178" t="s">
        <v>594</v>
      </c>
      <c r="F242" s="170" t="s">
        <v>1821</v>
      </c>
      <c r="G242" s="170" t="s">
        <v>62</v>
      </c>
      <c r="H242" s="170" t="s">
        <v>352</v>
      </c>
      <c r="I242" s="179">
        <v>1</v>
      </c>
      <c r="J242" s="170" t="s">
        <v>8</v>
      </c>
      <c r="K242" s="170" t="s">
        <v>2089</v>
      </c>
      <c r="L242" s="525">
        <v>2023</v>
      </c>
      <c r="M242" s="170" t="s">
        <v>11</v>
      </c>
      <c r="N242" s="170" t="s">
        <v>2051</v>
      </c>
      <c r="O242" s="181"/>
      <c r="P242" s="170" t="s">
        <v>2053</v>
      </c>
      <c r="Q242" s="176"/>
      <c r="R242" s="184"/>
      <c r="S242" s="170"/>
      <c r="T242" s="170"/>
      <c r="U242" s="170"/>
      <c r="V242" s="170"/>
      <c r="W242" s="170"/>
      <c r="X242" s="170"/>
      <c r="Y242" s="170"/>
      <c r="Z242" s="170"/>
      <c r="AA242" s="170"/>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row>
    <row r="243" spans="1:47" ht="15.75" customHeight="1">
      <c r="A243" s="170" t="s">
        <v>18</v>
      </c>
      <c r="B243" s="171" t="s">
        <v>587</v>
      </c>
      <c r="C243" s="170" t="s">
        <v>715</v>
      </c>
      <c r="D243" s="170" t="s">
        <v>721</v>
      </c>
      <c r="E243" s="178" t="s">
        <v>722</v>
      </c>
      <c r="F243" s="170" t="s">
        <v>1821</v>
      </c>
      <c r="G243" s="170" t="s">
        <v>62</v>
      </c>
      <c r="H243" s="170" t="s">
        <v>352</v>
      </c>
      <c r="I243" s="179">
        <v>1</v>
      </c>
      <c r="J243" s="170" t="s">
        <v>8</v>
      </c>
      <c r="K243" s="170" t="s">
        <v>2054</v>
      </c>
      <c r="L243" s="525">
        <v>2023</v>
      </c>
      <c r="M243" s="170" t="s">
        <v>10</v>
      </c>
      <c r="N243" s="170" t="s">
        <v>2001</v>
      </c>
      <c r="O243" s="181"/>
      <c r="P243" s="170" t="s">
        <v>2002</v>
      </c>
      <c r="Q243" s="176"/>
      <c r="R243" s="184"/>
      <c r="S243" s="170"/>
      <c r="T243" s="170"/>
      <c r="U243" s="170"/>
      <c r="V243" s="170"/>
      <c r="W243" s="170"/>
      <c r="X243" s="170"/>
      <c r="Y243" s="170"/>
      <c r="Z243" s="170"/>
      <c r="AA243" s="170"/>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row>
    <row r="244" spans="1:47" ht="15.75" customHeight="1">
      <c r="A244" s="170" t="s">
        <v>18</v>
      </c>
      <c r="B244" s="171" t="s">
        <v>587</v>
      </c>
      <c r="C244" s="170" t="s">
        <v>715</v>
      </c>
      <c r="D244" s="170" t="s">
        <v>723</v>
      </c>
      <c r="E244" s="178" t="s">
        <v>596</v>
      </c>
      <c r="F244" s="170" t="s">
        <v>1821</v>
      </c>
      <c r="G244" s="170" t="s">
        <v>62</v>
      </c>
      <c r="H244" s="170" t="s">
        <v>352</v>
      </c>
      <c r="I244" s="179">
        <v>1</v>
      </c>
      <c r="J244" s="170" t="s">
        <v>8</v>
      </c>
      <c r="K244" s="170" t="s">
        <v>2090</v>
      </c>
      <c r="L244" s="525">
        <v>2023</v>
      </c>
      <c r="M244" s="170" t="s">
        <v>11</v>
      </c>
      <c r="N244" s="170" t="s">
        <v>2051</v>
      </c>
      <c r="O244" s="181"/>
      <c r="P244" s="170" t="s">
        <v>2053</v>
      </c>
      <c r="Q244" s="176"/>
      <c r="R244" s="184"/>
      <c r="S244" s="170"/>
      <c r="T244" s="170"/>
      <c r="U244" s="170"/>
      <c r="V244" s="170"/>
      <c r="W244" s="170"/>
      <c r="X244" s="170"/>
      <c r="Y244" s="170"/>
      <c r="Z244" s="170"/>
      <c r="AA244" s="170"/>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row>
    <row r="245" spans="1:47" ht="15.75" customHeight="1">
      <c r="A245" s="170" t="s">
        <v>18</v>
      </c>
      <c r="B245" s="171" t="s">
        <v>587</v>
      </c>
      <c r="C245" s="170" t="s">
        <v>715</v>
      </c>
      <c r="D245" s="170" t="s">
        <v>724</v>
      </c>
      <c r="E245" s="178" t="s">
        <v>597</v>
      </c>
      <c r="F245" s="170" t="s">
        <v>1821</v>
      </c>
      <c r="G245" s="170" t="s">
        <v>62</v>
      </c>
      <c r="H245" s="170" t="s">
        <v>352</v>
      </c>
      <c r="I245" s="179">
        <v>1</v>
      </c>
      <c r="J245" s="170" t="s">
        <v>8</v>
      </c>
      <c r="K245" s="170" t="s">
        <v>2091</v>
      </c>
      <c r="L245" s="533">
        <v>2023</v>
      </c>
      <c r="M245" s="170" t="s">
        <v>11</v>
      </c>
      <c r="N245" s="170" t="s">
        <v>2051</v>
      </c>
      <c r="O245" s="181"/>
      <c r="P245" s="170" t="s">
        <v>2053</v>
      </c>
      <c r="Q245" s="176"/>
      <c r="R245" s="184"/>
      <c r="S245" s="170"/>
      <c r="T245" s="170"/>
      <c r="U245" s="170"/>
      <c r="V245" s="170"/>
      <c r="W245" s="170"/>
      <c r="X245" s="170"/>
      <c r="Y245" s="170"/>
      <c r="Z245" s="170"/>
      <c r="AA245" s="170"/>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row>
    <row r="246" spans="1:47" ht="15.75" customHeight="1">
      <c r="A246" s="170" t="s">
        <v>18</v>
      </c>
      <c r="B246" s="171" t="s">
        <v>587</v>
      </c>
      <c r="C246" s="170" t="s">
        <v>715</v>
      </c>
      <c r="D246" s="170" t="s">
        <v>725</v>
      </c>
      <c r="E246" s="178" t="s">
        <v>599</v>
      </c>
      <c r="F246" s="170" t="s">
        <v>1821</v>
      </c>
      <c r="G246" s="170" t="s">
        <v>62</v>
      </c>
      <c r="H246" s="170" t="s">
        <v>352</v>
      </c>
      <c r="I246" s="179">
        <v>1</v>
      </c>
      <c r="J246" s="170" t="s">
        <v>8</v>
      </c>
      <c r="K246" s="170" t="s">
        <v>2092</v>
      </c>
      <c r="L246" s="533">
        <v>2023</v>
      </c>
      <c r="M246" s="170" t="s">
        <v>11</v>
      </c>
      <c r="N246" s="170" t="s">
        <v>2051</v>
      </c>
      <c r="O246" s="181"/>
      <c r="P246" s="170" t="s">
        <v>2053</v>
      </c>
      <c r="Q246" s="176"/>
      <c r="R246" s="184"/>
      <c r="S246" s="170"/>
      <c r="T246" s="170"/>
      <c r="U246" s="170"/>
      <c r="V246" s="170"/>
      <c r="W246" s="170"/>
      <c r="X246" s="170"/>
      <c r="Y246" s="170"/>
      <c r="Z246" s="170"/>
      <c r="AA246" s="170"/>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row>
    <row r="247" spans="1:47" ht="15.75" customHeight="1">
      <c r="A247" s="170" t="s">
        <v>18</v>
      </c>
      <c r="B247" s="171" t="s">
        <v>587</v>
      </c>
      <c r="C247" s="170" t="s">
        <v>715</v>
      </c>
      <c r="D247" s="170" t="s">
        <v>726</v>
      </c>
      <c r="E247" s="178" t="s">
        <v>727</v>
      </c>
      <c r="F247" s="170" t="s">
        <v>1821</v>
      </c>
      <c r="G247" s="170" t="s">
        <v>62</v>
      </c>
      <c r="H247" s="170" t="s">
        <v>352</v>
      </c>
      <c r="I247" s="179">
        <v>1</v>
      </c>
      <c r="J247" s="170" t="s">
        <v>8</v>
      </c>
      <c r="L247" s="525">
        <v>2023</v>
      </c>
      <c r="M247" s="170" t="s">
        <v>11</v>
      </c>
      <c r="N247" s="170" t="s">
        <v>2051</v>
      </c>
      <c r="O247" s="181"/>
      <c r="P247" s="170"/>
      <c r="Q247" s="176"/>
      <c r="R247" s="184"/>
      <c r="S247" s="170"/>
      <c r="T247" s="170"/>
      <c r="U247" s="170"/>
      <c r="V247" s="170"/>
      <c r="W247" s="170"/>
      <c r="X247" s="170"/>
      <c r="Y247" s="170"/>
      <c r="Z247" s="170"/>
      <c r="AA247" s="170"/>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row>
    <row r="248" spans="1:47" ht="15.75" customHeight="1">
      <c r="A248" s="170" t="s">
        <v>18</v>
      </c>
      <c r="B248" s="171" t="s">
        <v>587</v>
      </c>
      <c r="C248" s="170" t="s">
        <v>715</v>
      </c>
      <c r="D248" s="170" t="s">
        <v>728</v>
      </c>
      <c r="E248" s="178" t="s">
        <v>729</v>
      </c>
      <c r="F248" s="170" t="s">
        <v>1821</v>
      </c>
      <c r="G248" s="170" t="s">
        <v>62</v>
      </c>
      <c r="H248" s="170" t="s">
        <v>352</v>
      </c>
      <c r="I248" s="179">
        <v>1</v>
      </c>
      <c r="J248" s="170" t="s">
        <v>8</v>
      </c>
      <c r="K248" s="191"/>
      <c r="L248" s="525">
        <v>2023</v>
      </c>
      <c r="M248" s="170" t="s">
        <v>11</v>
      </c>
      <c r="N248" s="170" t="s">
        <v>2051</v>
      </c>
      <c r="O248" s="181"/>
      <c r="P248" s="170"/>
      <c r="Q248" s="176"/>
      <c r="R248" s="184"/>
      <c r="S248" s="170"/>
      <c r="T248" s="170"/>
      <c r="U248" s="170"/>
      <c r="V248" s="170"/>
      <c r="W248" s="170"/>
      <c r="X248" s="170"/>
      <c r="Y248" s="170"/>
      <c r="Z248" s="170"/>
      <c r="AA248" s="170"/>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row>
    <row r="249" spans="1:47" ht="15.75" customHeight="1">
      <c r="A249" s="170" t="s">
        <v>18</v>
      </c>
      <c r="B249" s="171" t="s">
        <v>587</v>
      </c>
      <c r="C249" s="170" t="s">
        <v>715</v>
      </c>
      <c r="D249" s="170" t="s">
        <v>730</v>
      </c>
      <c r="E249" s="178" t="s">
        <v>731</v>
      </c>
      <c r="F249" s="170" t="s">
        <v>1821</v>
      </c>
      <c r="G249" s="170" t="s">
        <v>62</v>
      </c>
      <c r="H249" s="170" t="s">
        <v>352</v>
      </c>
      <c r="I249" s="179">
        <v>1</v>
      </c>
      <c r="J249" s="170" t="s">
        <v>8</v>
      </c>
      <c r="L249" s="525">
        <v>2023</v>
      </c>
      <c r="M249" s="170" t="s">
        <v>11</v>
      </c>
      <c r="N249" s="170" t="s">
        <v>2051</v>
      </c>
      <c r="O249" s="181"/>
      <c r="P249" s="170" t="s">
        <v>2093</v>
      </c>
      <c r="Q249" s="176"/>
      <c r="R249" s="184"/>
      <c r="S249" s="170"/>
      <c r="T249" s="170"/>
      <c r="U249" s="170"/>
      <c r="V249" s="170"/>
      <c r="W249" s="170"/>
      <c r="X249" s="170"/>
      <c r="Y249" s="170"/>
      <c r="Z249" s="170"/>
      <c r="AA249" s="170"/>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row>
    <row r="250" spans="1:47" ht="15.75" hidden="1" customHeight="1">
      <c r="A250" s="170" t="s">
        <v>18</v>
      </c>
      <c r="B250" s="171" t="s">
        <v>587</v>
      </c>
      <c r="C250" s="170" t="s">
        <v>732</v>
      </c>
      <c r="D250" s="170" t="s">
        <v>733</v>
      </c>
      <c r="E250" s="170" t="s">
        <v>734</v>
      </c>
      <c r="F250" s="170"/>
      <c r="G250" s="170" t="s">
        <v>71</v>
      </c>
      <c r="H250" s="170" t="s">
        <v>735</v>
      </c>
      <c r="I250" s="179">
        <v>1</v>
      </c>
      <c r="J250" s="170"/>
      <c r="K250" s="170"/>
      <c r="L250" s="180"/>
      <c r="M250" s="170"/>
      <c r="N250" s="170"/>
      <c r="O250" s="181"/>
      <c r="P250" s="170"/>
      <c r="Q250" s="176"/>
      <c r="R250" s="184"/>
      <c r="S250" s="170"/>
      <c r="T250" s="170"/>
      <c r="U250" s="170"/>
      <c r="V250" s="170"/>
      <c r="W250" s="170"/>
      <c r="X250" s="170"/>
      <c r="Y250" s="170"/>
      <c r="Z250" s="170"/>
      <c r="AA250" s="170"/>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row>
    <row r="251" spans="1:47" ht="15.75" customHeight="1">
      <c r="A251" s="170" t="s">
        <v>18</v>
      </c>
      <c r="B251" s="171" t="s">
        <v>587</v>
      </c>
      <c r="C251" s="170" t="s">
        <v>732</v>
      </c>
      <c r="D251" s="170" t="s">
        <v>736</v>
      </c>
      <c r="E251" s="170" t="s">
        <v>734</v>
      </c>
      <c r="F251" s="170" t="s">
        <v>1821</v>
      </c>
      <c r="G251" s="170" t="s">
        <v>58</v>
      </c>
      <c r="H251" s="170" t="s">
        <v>428</v>
      </c>
      <c r="I251" s="179">
        <v>1</v>
      </c>
      <c r="J251" s="170" t="s">
        <v>8</v>
      </c>
      <c r="K251" s="170" t="s">
        <v>2094</v>
      </c>
      <c r="L251" s="525">
        <v>2023</v>
      </c>
      <c r="M251" s="170" t="s">
        <v>10</v>
      </c>
      <c r="N251" s="170" t="s">
        <v>2095</v>
      </c>
      <c r="O251" s="181"/>
      <c r="P251" s="170"/>
      <c r="Q251" s="176"/>
      <c r="R251" s="184"/>
      <c r="S251" s="170"/>
      <c r="T251" s="170"/>
      <c r="U251" s="170"/>
      <c r="V251" s="170"/>
      <c r="W251" s="170"/>
      <c r="X251" s="170"/>
      <c r="Y251" s="170"/>
      <c r="Z251" s="170"/>
      <c r="AA251" s="170"/>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row>
    <row r="252" spans="1:47" ht="15.75" customHeight="1">
      <c r="A252" s="170" t="s">
        <v>18</v>
      </c>
      <c r="B252" s="171" t="s">
        <v>587</v>
      </c>
      <c r="C252" s="170" t="s">
        <v>737</v>
      </c>
      <c r="D252" s="170" t="s">
        <v>738</v>
      </c>
      <c r="E252" s="170" t="s">
        <v>739</v>
      </c>
      <c r="F252" s="170" t="s">
        <v>1821</v>
      </c>
      <c r="G252" s="170" t="s">
        <v>62</v>
      </c>
      <c r="H252" s="170" t="s">
        <v>352</v>
      </c>
      <c r="I252" s="179">
        <v>1</v>
      </c>
      <c r="J252" s="170" t="s">
        <v>8</v>
      </c>
      <c r="L252" s="525">
        <v>2023</v>
      </c>
      <c r="M252" s="170" t="s">
        <v>11</v>
      </c>
      <c r="N252" s="170" t="s">
        <v>2051</v>
      </c>
      <c r="O252" s="181"/>
      <c r="P252" s="191"/>
      <c r="Q252" s="176"/>
      <c r="R252" s="184"/>
      <c r="S252" s="170"/>
      <c r="T252" s="170"/>
      <c r="U252" s="170"/>
      <c r="V252" s="170"/>
      <c r="W252" s="170"/>
      <c r="X252" s="170"/>
      <c r="Y252" s="170"/>
      <c r="Z252" s="170"/>
      <c r="AA252" s="170"/>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row>
    <row r="253" spans="1:47" ht="15.75" customHeight="1">
      <c r="A253" s="170" t="s">
        <v>18</v>
      </c>
      <c r="B253" s="171" t="s">
        <v>587</v>
      </c>
      <c r="C253" s="170" t="s">
        <v>737</v>
      </c>
      <c r="D253" s="170" t="s">
        <v>740</v>
      </c>
      <c r="E253" s="170" t="s">
        <v>741</v>
      </c>
      <c r="F253" s="170" t="s">
        <v>1929</v>
      </c>
      <c r="G253" s="170" t="s">
        <v>62</v>
      </c>
      <c r="H253" s="170" t="s">
        <v>742</v>
      </c>
      <c r="I253" s="179">
        <v>1</v>
      </c>
      <c r="J253" s="170" t="s">
        <v>8</v>
      </c>
      <c r="K253" s="170" t="s">
        <v>2096</v>
      </c>
      <c r="L253" s="533">
        <v>2023</v>
      </c>
      <c r="M253" s="170" t="s">
        <v>10</v>
      </c>
      <c r="N253" s="170" t="s">
        <v>2097</v>
      </c>
      <c r="O253" s="181"/>
      <c r="P253" s="191"/>
      <c r="Q253" s="176"/>
      <c r="R253" s="184"/>
      <c r="S253" s="170"/>
      <c r="T253" s="170"/>
      <c r="U253" s="170"/>
      <c r="V253" s="170"/>
      <c r="W253" s="170"/>
      <c r="X253" s="170"/>
      <c r="Y253" s="170"/>
      <c r="Z253" s="170"/>
      <c r="AA253" s="170"/>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row>
    <row r="254" spans="1:47" ht="15.75" customHeight="1">
      <c r="A254" s="170" t="s">
        <v>18</v>
      </c>
      <c r="B254" s="171" t="s">
        <v>587</v>
      </c>
      <c r="C254" s="170" t="s">
        <v>737</v>
      </c>
      <c r="D254" s="170" t="s">
        <v>743</v>
      </c>
      <c r="E254" s="170" t="s">
        <v>744</v>
      </c>
      <c r="F254" s="170" t="s">
        <v>1929</v>
      </c>
      <c r="G254" s="170" t="s">
        <v>62</v>
      </c>
      <c r="H254" s="170" t="s">
        <v>745</v>
      </c>
      <c r="I254" s="179">
        <v>0.5</v>
      </c>
      <c r="J254" s="170" t="s">
        <v>8</v>
      </c>
      <c r="K254" s="191"/>
      <c r="L254" s="525">
        <v>2023</v>
      </c>
      <c r="M254" s="170" t="s">
        <v>10</v>
      </c>
      <c r="N254" s="170" t="s">
        <v>2097</v>
      </c>
      <c r="O254" s="181"/>
      <c r="P254" s="170" t="s">
        <v>2098</v>
      </c>
      <c r="Q254" s="176"/>
      <c r="R254" s="184"/>
      <c r="S254" s="170"/>
      <c r="T254" s="170"/>
      <c r="U254" s="170"/>
      <c r="V254" s="170"/>
      <c r="W254" s="170"/>
      <c r="X254" s="170"/>
      <c r="Y254" s="170"/>
      <c r="Z254" s="170"/>
      <c r="AA254" s="170"/>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row>
    <row r="255" spans="1:47" ht="15.75" customHeight="1">
      <c r="A255" s="170" t="s">
        <v>18</v>
      </c>
      <c r="B255" s="171" t="s">
        <v>587</v>
      </c>
      <c r="C255" s="170" t="s">
        <v>746</v>
      </c>
      <c r="D255" s="170" t="s">
        <v>747</v>
      </c>
      <c r="E255" s="170" t="s">
        <v>748</v>
      </c>
      <c r="F255" s="170" t="s">
        <v>1821</v>
      </c>
      <c r="G255" s="170" t="s">
        <v>62</v>
      </c>
      <c r="H255" s="170" t="s">
        <v>749</v>
      </c>
      <c r="I255" s="179">
        <v>0.5</v>
      </c>
      <c r="J255" s="170" t="s">
        <v>8</v>
      </c>
      <c r="K255" s="170"/>
      <c r="L255" s="525">
        <v>2023</v>
      </c>
      <c r="M255" s="170" t="s">
        <v>9</v>
      </c>
      <c r="N255" s="170" t="s">
        <v>2065</v>
      </c>
      <c r="O255" s="181"/>
      <c r="P255" s="170"/>
      <c r="Q255" s="176"/>
      <c r="R255" s="184"/>
      <c r="S255" s="170"/>
      <c r="T255" s="170"/>
      <c r="U255" s="170"/>
      <c r="V255" s="170"/>
      <c r="W255" s="170"/>
      <c r="X255" s="170"/>
      <c r="Y255" s="170"/>
      <c r="Z255" s="170"/>
      <c r="AA255" s="170"/>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row>
    <row r="256" spans="1:47" ht="15.75" hidden="1" customHeight="1">
      <c r="A256" s="238" t="s">
        <v>750</v>
      </c>
      <c r="B256" s="239"/>
      <c r="C256" s="240"/>
      <c r="D256" s="240"/>
      <c r="E256" s="240"/>
      <c r="F256" s="240"/>
      <c r="G256" s="240"/>
      <c r="H256" s="240"/>
      <c r="I256" s="241"/>
      <c r="J256" s="240"/>
      <c r="K256" s="240"/>
      <c r="L256" s="534"/>
      <c r="M256" s="240"/>
      <c r="N256" s="240"/>
      <c r="O256" s="240"/>
      <c r="P256" s="242"/>
      <c r="Q256" s="243"/>
      <c r="R256" s="244"/>
      <c r="S256" s="240"/>
      <c r="T256" s="240"/>
      <c r="U256" s="240"/>
      <c r="V256" s="240"/>
      <c r="W256" s="240"/>
      <c r="X256" s="240"/>
      <c r="Y256" s="240"/>
      <c r="Z256" s="240"/>
      <c r="AA256" s="240"/>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row>
    <row r="257" spans="1:47" ht="15.75" customHeight="1">
      <c r="A257" s="170" t="s">
        <v>20</v>
      </c>
      <c r="B257" s="171" t="s">
        <v>54</v>
      </c>
      <c r="C257" s="170" t="s">
        <v>751</v>
      </c>
      <c r="D257" s="170" t="s">
        <v>752</v>
      </c>
      <c r="E257" s="170" t="s">
        <v>753</v>
      </c>
      <c r="F257" s="172"/>
      <c r="G257" s="172" t="s">
        <v>62</v>
      </c>
      <c r="H257" s="172" t="s">
        <v>754</v>
      </c>
      <c r="I257" s="173" t="s">
        <v>485</v>
      </c>
      <c r="J257" s="172"/>
      <c r="K257" s="172"/>
      <c r="L257" s="525"/>
      <c r="M257" s="172"/>
      <c r="N257" s="170"/>
      <c r="O257" s="175"/>
      <c r="P257" s="172"/>
      <c r="Q257" s="176"/>
      <c r="R257" s="177"/>
      <c r="S257" s="172"/>
      <c r="T257" s="172"/>
      <c r="U257" s="172"/>
      <c r="V257" s="172"/>
      <c r="W257" s="172"/>
      <c r="X257" s="172"/>
      <c r="Y257" s="172"/>
      <c r="Z257" s="172"/>
      <c r="AA257" s="17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row>
    <row r="258" spans="1:47" ht="15.75" customHeight="1">
      <c r="A258" s="170" t="s">
        <v>20</v>
      </c>
      <c r="B258" s="171" t="s">
        <v>54</v>
      </c>
      <c r="C258" s="170" t="s">
        <v>751</v>
      </c>
      <c r="D258" s="170" t="s">
        <v>755</v>
      </c>
      <c r="E258" s="178" t="s">
        <v>756</v>
      </c>
      <c r="F258" s="170" t="s">
        <v>1929</v>
      </c>
      <c r="G258" s="170" t="s">
        <v>62</v>
      </c>
      <c r="H258" s="170" t="s">
        <v>754</v>
      </c>
      <c r="I258" s="170" t="s">
        <v>485</v>
      </c>
      <c r="J258" s="170" t="s">
        <v>8</v>
      </c>
      <c r="K258" s="170"/>
      <c r="L258" s="525">
        <v>2023</v>
      </c>
      <c r="M258" s="170" t="s">
        <v>10</v>
      </c>
      <c r="N258" s="170" t="s">
        <v>2097</v>
      </c>
      <c r="O258" s="181"/>
      <c r="P258" s="170"/>
      <c r="Q258" s="176"/>
      <c r="R258" s="184"/>
      <c r="S258" s="170"/>
      <c r="T258" s="170"/>
      <c r="U258" s="170"/>
      <c r="V258" s="170"/>
      <c r="W258" s="170"/>
      <c r="X258" s="170"/>
      <c r="Y258" s="170"/>
      <c r="Z258" s="170"/>
      <c r="AA258" s="170"/>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row>
    <row r="259" spans="1:47" ht="15.75" customHeight="1">
      <c r="A259" s="170" t="s">
        <v>20</v>
      </c>
      <c r="B259" s="171" t="s">
        <v>54</v>
      </c>
      <c r="C259" s="170" t="s">
        <v>751</v>
      </c>
      <c r="D259" s="170" t="s">
        <v>757</v>
      </c>
      <c r="E259" s="178" t="s">
        <v>758</v>
      </c>
      <c r="F259" s="170" t="s">
        <v>1929</v>
      </c>
      <c r="G259" s="170" t="s">
        <v>62</v>
      </c>
      <c r="H259" s="170" t="s">
        <v>754</v>
      </c>
      <c r="I259" s="170" t="s">
        <v>485</v>
      </c>
      <c r="J259" s="170" t="s">
        <v>8</v>
      </c>
      <c r="K259" s="170"/>
      <c r="L259" s="525">
        <v>2023</v>
      </c>
      <c r="M259" s="170" t="s">
        <v>10</v>
      </c>
      <c r="N259" s="170" t="s">
        <v>2097</v>
      </c>
      <c r="O259" s="181"/>
      <c r="P259" s="170"/>
      <c r="Q259" s="176"/>
      <c r="R259" s="184"/>
      <c r="S259" s="170"/>
      <c r="T259" s="170"/>
      <c r="U259" s="170"/>
      <c r="V259" s="170"/>
      <c r="W259" s="170"/>
      <c r="X259" s="170"/>
      <c r="Y259" s="170"/>
      <c r="Z259" s="170"/>
      <c r="AA259" s="170"/>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row>
    <row r="260" spans="1:47" ht="15.75" customHeight="1">
      <c r="A260" s="170" t="s">
        <v>20</v>
      </c>
      <c r="B260" s="171" t="s">
        <v>54</v>
      </c>
      <c r="C260" s="170" t="s">
        <v>751</v>
      </c>
      <c r="D260" s="170" t="s">
        <v>759</v>
      </c>
      <c r="E260" s="178" t="s">
        <v>760</v>
      </c>
      <c r="F260" s="170" t="s">
        <v>1929</v>
      </c>
      <c r="G260" s="170" t="s">
        <v>62</v>
      </c>
      <c r="H260" s="170" t="s">
        <v>754</v>
      </c>
      <c r="I260" s="170" t="s">
        <v>485</v>
      </c>
      <c r="J260" s="170" t="s">
        <v>8</v>
      </c>
      <c r="K260" s="170"/>
      <c r="L260" s="525">
        <v>2023</v>
      </c>
      <c r="M260" s="170" t="s">
        <v>10</v>
      </c>
      <c r="N260" s="170" t="s">
        <v>2097</v>
      </c>
      <c r="O260" s="181"/>
      <c r="P260" s="170"/>
      <c r="Q260" s="176"/>
      <c r="R260" s="184"/>
      <c r="S260" s="170"/>
      <c r="T260" s="170"/>
      <c r="U260" s="170"/>
      <c r="V260" s="170"/>
      <c r="W260" s="170"/>
      <c r="X260" s="170"/>
      <c r="Y260" s="170"/>
      <c r="Z260" s="170"/>
      <c r="AA260" s="170"/>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row>
    <row r="261" spans="1:47" ht="15.75" customHeight="1">
      <c r="A261" s="170" t="s">
        <v>20</v>
      </c>
      <c r="B261" s="171" t="s">
        <v>54</v>
      </c>
      <c r="C261" s="170" t="s">
        <v>751</v>
      </c>
      <c r="D261" s="170" t="s">
        <v>761</v>
      </c>
      <c r="E261" s="178" t="s">
        <v>762</v>
      </c>
      <c r="F261" s="170" t="s">
        <v>1929</v>
      </c>
      <c r="G261" s="170" t="s">
        <v>62</v>
      </c>
      <c r="H261" s="170" t="s">
        <v>754</v>
      </c>
      <c r="I261" s="170" t="s">
        <v>485</v>
      </c>
      <c r="J261" s="170" t="s">
        <v>8</v>
      </c>
      <c r="K261" s="170"/>
      <c r="L261" s="525">
        <v>2023</v>
      </c>
      <c r="M261" s="170" t="s">
        <v>10</v>
      </c>
      <c r="N261" s="170" t="s">
        <v>2097</v>
      </c>
      <c r="O261" s="181"/>
      <c r="P261" s="170"/>
      <c r="Q261" s="176"/>
      <c r="R261" s="184"/>
      <c r="S261" s="170"/>
      <c r="T261" s="170"/>
      <c r="U261" s="170"/>
      <c r="V261" s="170"/>
      <c r="W261" s="170"/>
      <c r="X261" s="170"/>
      <c r="Y261" s="170"/>
      <c r="Z261" s="170"/>
      <c r="AA261" s="170"/>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row>
    <row r="262" spans="1:47" ht="15.75" customHeight="1">
      <c r="A262" s="170" t="s">
        <v>20</v>
      </c>
      <c r="B262" s="171" t="s">
        <v>54</v>
      </c>
      <c r="C262" s="170" t="s">
        <v>751</v>
      </c>
      <c r="D262" s="170" t="s">
        <v>763</v>
      </c>
      <c r="E262" s="178" t="s">
        <v>764</v>
      </c>
      <c r="F262" s="170" t="s">
        <v>1929</v>
      </c>
      <c r="G262" s="170" t="s">
        <v>62</v>
      </c>
      <c r="H262" s="170" t="s">
        <v>754</v>
      </c>
      <c r="I262" s="170" t="s">
        <v>485</v>
      </c>
      <c r="J262" s="170" t="s">
        <v>8</v>
      </c>
      <c r="K262" s="170"/>
      <c r="L262" s="525">
        <v>2023</v>
      </c>
      <c r="M262" s="170" t="s">
        <v>10</v>
      </c>
      <c r="N262" s="170" t="s">
        <v>2097</v>
      </c>
      <c r="O262" s="181"/>
      <c r="P262" s="170"/>
      <c r="Q262" s="176"/>
      <c r="R262" s="184"/>
      <c r="S262" s="170"/>
      <c r="T262" s="170"/>
      <c r="U262" s="170"/>
      <c r="V262" s="170"/>
      <c r="W262" s="170"/>
      <c r="X262" s="170"/>
      <c r="Y262" s="170"/>
      <c r="Z262" s="170"/>
      <c r="AA262" s="170"/>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row>
    <row r="263" spans="1:47" ht="15.75" customHeight="1">
      <c r="A263" s="170" t="s">
        <v>20</v>
      </c>
      <c r="B263" s="171" t="s">
        <v>54</v>
      </c>
      <c r="C263" s="170" t="s">
        <v>751</v>
      </c>
      <c r="D263" s="170" t="s">
        <v>765</v>
      </c>
      <c r="E263" s="178" t="s">
        <v>766</v>
      </c>
      <c r="F263" s="170" t="s">
        <v>1929</v>
      </c>
      <c r="G263" s="170" t="s">
        <v>62</v>
      </c>
      <c r="H263" s="170" t="s">
        <v>754</v>
      </c>
      <c r="I263" s="170" t="s">
        <v>485</v>
      </c>
      <c r="J263" s="170" t="s">
        <v>8</v>
      </c>
      <c r="K263" s="170"/>
      <c r="L263" s="525">
        <v>2023</v>
      </c>
      <c r="M263" s="170" t="s">
        <v>10</v>
      </c>
      <c r="N263" s="170" t="s">
        <v>2097</v>
      </c>
      <c r="O263" s="181"/>
      <c r="P263" s="170"/>
      <c r="Q263" s="176"/>
      <c r="R263" s="184"/>
      <c r="S263" s="170"/>
      <c r="T263" s="170"/>
      <c r="U263" s="170"/>
      <c r="V263" s="170"/>
      <c r="W263" s="170"/>
      <c r="X263" s="170"/>
      <c r="Y263" s="170"/>
      <c r="Z263" s="170"/>
      <c r="AA263" s="170"/>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row>
    <row r="264" spans="1:47" ht="15.75" customHeight="1">
      <c r="A264" s="170" t="s">
        <v>20</v>
      </c>
      <c r="B264" s="171" t="s">
        <v>54</v>
      </c>
      <c r="C264" s="170" t="s">
        <v>751</v>
      </c>
      <c r="D264" s="170" t="s">
        <v>767</v>
      </c>
      <c r="E264" s="178" t="s">
        <v>768</v>
      </c>
      <c r="F264" s="170" t="s">
        <v>1929</v>
      </c>
      <c r="G264" s="170" t="s">
        <v>62</v>
      </c>
      <c r="H264" s="170" t="s">
        <v>754</v>
      </c>
      <c r="I264" s="170" t="s">
        <v>485</v>
      </c>
      <c r="J264" s="170" t="s">
        <v>8</v>
      </c>
      <c r="K264" s="170"/>
      <c r="L264" s="525">
        <v>2023</v>
      </c>
      <c r="M264" s="170" t="s">
        <v>10</v>
      </c>
      <c r="N264" s="170" t="s">
        <v>2097</v>
      </c>
      <c r="O264" s="181"/>
      <c r="P264" s="170"/>
      <c r="Q264" s="176"/>
      <c r="R264" s="184"/>
      <c r="S264" s="170"/>
      <c r="T264" s="170"/>
      <c r="U264" s="170"/>
      <c r="V264" s="170"/>
      <c r="W264" s="170"/>
      <c r="X264" s="170"/>
      <c r="Y264" s="170"/>
      <c r="Z264" s="170"/>
      <c r="AA264" s="170"/>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row>
    <row r="265" spans="1:47" ht="15.75" customHeight="1">
      <c r="A265" s="170" t="s">
        <v>20</v>
      </c>
      <c r="B265" s="171" t="s">
        <v>54</v>
      </c>
      <c r="C265" s="170" t="s">
        <v>751</v>
      </c>
      <c r="D265" s="170" t="s">
        <v>769</v>
      </c>
      <c r="E265" s="178" t="s">
        <v>2099</v>
      </c>
      <c r="F265" s="170" t="s">
        <v>1929</v>
      </c>
      <c r="G265" s="170" t="s">
        <v>62</v>
      </c>
      <c r="H265" s="170" t="s">
        <v>754</v>
      </c>
      <c r="I265" s="170" t="s">
        <v>485</v>
      </c>
      <c r="J265" s="170" t="s">
        <v>8</v>
      </c>
      <c r="K265" s="170"/>
      <c r="L265" s="525">
        <v>2023</v>
      </c>
      <c r="M265" s="170" t="s">
        <v>10</v>
      </c>
      <c r="N265" s="170" t="s">
        <v>2097</v>
      </c>
      <c r="O265" s="181"/>
      <c r="P265" s="170" t="s">
        <v>2100</v>
      </c>
      <c r="Q265" s="176"/>
      <c r="R265" s="184"/>
      <c r="S265" s="170"/>
      <c r="T265" s="170"/>
      <c r="U265" s="170"/>
      <c r="V265" s="170"/>
      <c r="W265" s="170"/>
      <c r="X265" s="170"/>
      <c r="Y265" s="170"/>
      <c r="Z265" s="170"/>
      <c r="AA265" s="170"/>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row>
    <row r="266" spans="1:47" ht="15.75" customHeight="1">
      <c r="A266" s="170" t="s">
        <v>20</v>
      </c>
      <c r="B266" s="171" t="s">
        <v>54</v>
      </c>
      <c r="C266" s="170" t="s">
        <v>751</v>
      </c>
      <c r="D266" s="170" t="s">
        <v>771</v>
      </c>
      <c r="E266" s="170" t="s">
        <v>772</v>
      </c>
      <c r="F266" s="170" t="s">
        <v>1929</v>
      </c>
      <c r="G266" s="170" t="s">
        <v>62</v>
      </c>
      <c r="H266" s="170" t="s">
        <v>773</v>
      </c>
      <c r="I266" s="170" t="s">
        <v>139</v>
      </c>
      <c r="J266" s="170" t="s">
        <v>1090</v>
      </c>
      <c r="K266" s="236" t="s">
        <v>2101</v>
      </c>
      <c r="L266" s="525"/>
      <c r="M266" s="170"/>
      <c r="N266" s="170"/>
      <c r="O266" s="181"/>
      <c r="P266" s="170"/>
      <c r="Q266" s="176"/>
      <c r="R266" s="184"/>
      <c r="S266" s="170"/>
      <c r="T266" s="170"/>
      <c r="U266" s="170"/>
      <c r="V266" s="170"/>
      <c r="W266" s="170"/>
      <c r="X266" s="170"/>
      <c r="Y266" s="170"/>
      <c r="Z266" s="170"/>
      <c r="AA266" s="170"/>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row>
    <row r="267" spans="1:47" ht="15.75" customHeight="1">
      <c r="A267" s="170" t="s">
        <v>20</v>
      </c>
      <c r="B267" s="171" t="s">
        <v>54</v>
      </c>
      <c r="C267" s="170" t="s">
        <v>774</v>
      </c>
      <c r="D267" s="170" t="s">
        <v>775</v>
      </c>
      <c r="E267" s="170" t="s">
        <v>776</v>
      </c>
      <c r="F267" s="170" t="s">
        <v>1929</v>
      </c>
      <c r="G267" s="170" t="s">
        <v>62</v>
      </c>
      <c r="H267" s="170" t="s">
        <v>777</v>
      </c>
      <c r="I267" s="170" t="s">
        <v>494</v>
      </c>
      <c r="J267" s="170" t="s">
        <v>1090</v>
      </c>
      <c r="K267" s="170" t="s">
        <v>2102</v>
      </c>
      <c r="L267" s="533"/>
      <c r="M267" s="170"/>
      <c r="N267" s="170"/>
      <c r="O267" s="181"/>
      <c r="P267" s="170" t="s">
        <v>2103</v>
      </c>
      <c r="Q267" s="176"/>
      <c r="R267" s="184"/>
      <c r="S267" s="170"/>
      <c r="T267" s="170"/>
      <c r="U267" s="170"/>
      <c r="V267" s="170"/>
      <c r="W267" s="170"/>
      <c r="X267" s="170"/>
      <c r="Y267" s="170"/>
      <c r="Z267" s="170"/>
      <c r="AA267" s="170"/>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row>
    <row r="268" spans="1:47" ht="15.75" customHeight="1">
      <c r="A268" s="170" t="s">
        <v>20</v>
      </c>
      <c r="B268" s="171" t="s">
        <v>54</v>
      </c>
      <c r="C268" s="170" t="s">
        <v>774</v>
      </c>
      <c r="D268" s="170" t="s">
        <v>778</v>
      </c>
      <c r="E268" s="170" t="s">
        <v>779</v>
      </c>
      <c r="F268" s="170" t="s">
        <v>1929</v>
      </c>
      <c r="G268" s="170" t="s">
        <v>62</v>
      </c>
      <c r="H268" s="170" t="s">
        <v>780</v>
      </c>
      <c r="I268" s="170">
        <v>5</v>
      </c>
      <c r="J268" s="170" t="s">
        <v>8</v>
      </c>
      <c r="K268" s="170" t="s">
        <v>2104</v>
      </c>
      <c r="L268" s="525">
        <v>2022</v>
      </c>
      <c r="M268" s="170" t="s">
        <v>10</v>
      </c>
      <c r="N268" s="245" t="s">
        <v>2105</v>
      </c>
      <c r="O268" s="181"/>
      <c r="P268" s="170"/>
      <c r="Q268" s="176"/>
      <c r="R268" s="184"/>
      <c r="S268" s="170"/>
      <c r="T268" s="170"/>
      <c r="U268" s="170"/>
      <c r="V268" s="170"/>
      <c r="W268" s="170"/>
      <c r="X268" s="170"/>
      <c r="Y268" s="170"/>
      <c r="Z268" s="170"/>
      <c r="AA268" s="170"/>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row>
    <row r="269" spans="1:47" ht="15.75" customHeight="1">
      <c r="A269" s="170" t="s">
        <v>20</v>
      </c>
      <c r="B269" s="171" t="s">
        <v>54</v>
      </c>
      <c r="C269" s="170" t="s">
        <v>774</v>
      </c>
      <c r="D269" s="170" t="s">
        <v>781</v>
      </c>
      <c r="E269" s="170" t="s">
        <v>782</v>
      </c>
      <c r="F269" s="170" t="s">
        <v>1821</v>
      </c>
      <c r="G269" s="170" t="s">
        <v>62</v>
      </c>
      <c r="H269" s="170" t="s">
        <v>783</v>
      </c>
      <c r="I269" s="179">
        <v>0.5</v>
      </c>
      <c r="J269" s="170" t="s">
        <v>8</v>
      </c>
      <c r="K269" s="170"/>
      <c r="L269" s="533">
        <v>2022</v>
      </c>
      <c r="M269" s="170" t="s">
        <v>10</v>
      </c>
      <c r="N269" s="170" t="s">
        <v>2106</v>
      </c>
      <c r="O269" s="181"/>
      <c r="P269" s="170"/>
      <c r="Q269" s="176"/>
      <c r="R269" s="184"/>
      <c r="S269" s="170"/>
      <c r="T269" s="170"/>
      <c r="U269" s="170"/>
      <c r="V269" s="170"/>
      <c r="W269" s="170"/>
      <c r="X269" s="170"/>
      <c r="Y269" s="170"/>
      <c r="Z269" s="170"/>
      <c r="AA269" s="170"/>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row>
    <row r="270" spans="1:47" ht="15.75" customHeight="1">
      <c r="A270" s="170" t="s">
        <v>20</v>
      </c>
      <c r="B270" s="171" t="s">
        <v>54</v>
      </c>
      <c r="C270" s="170" t="s">
        <v>774</v>
      </c>
      <c r="D270" s="170" t="s">
        <v>784</v>
      </c>
      <c r="E270" s="170" t="s">
        <v>785</v>
      </c>
      <c r="F270" s="170" t="s">
        <v>1929</v>
      </c>
      <c r="G270" s="170" t="s">
        <v>62</v>
      </c>
      <c r="H270" s="170" t="s">
        <v>786</v>
      </c>
      <c r="I270" s="170" t="s">
        <v>214</v>
      </c>
      <c r="J270" s="170" t="s">
        <v>8</v>
      </c>
      <c r="K270" s="170"/>
      <c r="L270" s="525">
        <v>2022</v>
      </c>
      <c r="M270" s="170" t="s">
        <v>10</v>
      </c>
      <c r="N270" s="170" t="s">
        <v>2097</v>
      </c>
      <c r="O270" s="181"/>
      <c r="P270" s="170"/>
      <c r="Q270" s="176"/>
      <c r="R270" s="184"/>
      <c r="S270" s="170"/>
      <c r="T270" s="170"/>
      <c r="U270" s="170"/>
      <c r="V270" s="170"/>
      <c r="W270" s="170"/>
      <c r="X270" s="170"/>
      <c r="Y270" s="170"/>
      <c r="Z270" s="170"/>
      <c r="AA270" s="170"/>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row>
    <row r="271" spans="1:47" ht="15.75" customHeight="1">
      <c r="A271" s="170" t="s">
        <v>20</v>
      </c>
      <c r="B271" s="171" t="s">
        <v>54</v>
      </c>
      <c r="C271" s="170" t="s">
        <v>774</v>
      </c>
      <c r="D271" s="170" t="s">
        <v>787</v>
      </c>
      <c r="E271" s="170" t="s">
        <v>788</v>
      </c>
      <c r="F271" s="170" t="s">
        <v>1821</v>
      </c>
      <c r="G271" s="170" t="s">
        <v>62</v>
      </c>
      <c r="H271" s="170" t="s">
        <v>789</v>
      </c>
      <c r="I271" s="179">
        <v>1</v>
      </c>
      <c r="J271" s="170" t="s">
        <v>1090</v>
      </c>
      <c r="K271" s="190" t="s">
        <v>2107</v>
      </c>
      <c r="L271" s="525"/>
      <c r="M271" s="170"/>
      <c r="N271" s="170"/>
      <c r="O271" s="181"/>
      <c r="P271" s="170"/>
      <c r="Q271" s="176"/>
      <c r="R271" s="184"/>
      <c r="S271" s="170"/>
      <c r="T271" s="170"/>
      <c r="U271" s="170"/>
      <c r="V271" s="170"/>
      <c r="W271" s="170"/>
      <c r="X271" s="170"/>
      <c r="Y271" s="170"/>
      <c r="Z271" s="170"/>
      <c r="AA271" s="170"/>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row>
    <row r="272" spans="1:47" ht="15.75" customHeight="1">
      <c r="A272" s="170" t="s">
        <v>20</v>
      </c>
      <c r="B272" s="171" t="s">
        <v>54</v>
      </c>
      <c r="C272" s="170" t="s">
        <v>774</v>
      </c>
      <c r="D272" s="170" t="s">
        <v>790</v>
      </c>
      <c r="E272" s="170" t="s">
        <v>791</v>
      </c>
      <c r="F272" s="170" t="s">
        <v>1821</v>
      </c>
      <c r="G272" s="170" t="s">
        <v>62</v>
      </c>
      <c r="H272" s="170" t="s">
        <v>789</v>
      </c>
      <c r="I272" s="179">
        <v>1</v>
      </c>
      <c r="J272" s="170" t="s">
        <v>1090</v>
      </c>
      <c r="K272" s="170" t="s">
        <v>1818</v>
      </c>
      <c r="L272" s="525"/>
      <c r="M272" s="170"/>
      <c r="N272" s="170"/>
      <c r="O272" s="181"/>
      <c r="P272" s="170"/>
      <c r="Q272" s="176"/>
      <c r="R272" s="184"/>
      <c r="S272" s="170"/>
      <c r="T272" s="170"/>
      <c r="U272" s="170"/>
      <c r="V272" s="170"/>
      <c r="W272" s="170"/>
      <c r="X272" s="170"/>
      <c r="Y272" s="170"/>
      <c r="Z272" s="170"/>
      <c r="AA272" s="170"/>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row>
    <row r="273" spans="1:47" ht="15.75" hidden="1" customHeight="1">
      <c r="A273" s="172" t="s">
        <v>20</v>
      </c>
      <c r="B273" s="227" t="s">
        <v>54</v>
      </c>
      <c r="C273" s="172" t="s">
        <v>792</v>
      </c>
      <c r="D273" s="172" t="s">
        <v>582</v>
      </c>
      <c r="E273" s="172" t="s">
        <v>582</v>
      </c>
      <c r="F273" s="172" t="s">
        <v>582</v>
      </c>
      <c r="G273" s="172" t="s">
        <v>582</v>
      </c>
      <c r="H273" s="172" t="s">
        <v>582</v>
      </c>
      <c r="I273" s="172" t="s">
        <v>582</v>
      </c>
      <c r="J273" s="172" t="s">
        <v>582</v>
      </c>
      <c r="K273" s="172" t="s">
        <v>582</v>
      </c>
      <c r="L273" s="172" t="s">
        <v>582</v>
      </c>
      <c r="M273" s="172" t="s">
        <v>582</v>
      </c>
      <c r="N273" s="172" t="s">
        <v>582</v>
      </c>
      <c r="O273" s="172" t="s">
        <v>582</v>
      </c>
      <c r="P273" s="172" t="s">
        <v>582</v>
      </c>
      <c r="Q273" s="228"/>
      <c r="R273" s="177" t="s">
        <v>582</v>
      </c>
      <c r="S273" s="172" t="s">
        <v>582</v>
      </c>
      <c r="T273" s="172" t="s">
        <v>582</v>
      </c>
      <c r="U273" s="172"/>
      <c r="V273" s="172" t="s">
        <v>582</v>
      </c>
      <c r="W273" s="172" t="s">
        <v>582</v>
      </c>
      <c r="X273" s="172" t="s">
        <v>582</v>
      </c>
      <c r="Y273" s="172" t="s">
        <v>582</v>
      </c>
      <c r="Z273" s="172" t="s">
        <v>582</v>
      </c>
      <c r="AA273" s="172" t="s">
        <v>582</v>
      </c>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row>
    <row r="274" spans="1:47" ht="15.75" customHeight="1">
      <c r="A274" s="170" t="s">
        <v>20</v>
      </c>
      <c r="B274" s="171" t="s">
        <v>195</v>
      </c>
      <c r="C274" s="170" t="s">
        <v>793</v>
      </c>
      <c r="D274" s="170" t="s">
        <v>794</v>
      </c>
      <c r="E274" s="170" t="s">
        <v>795</v>
      </c>
      <c r="F274" s="170" t="s">
        <v>1821</v>
      </c>
      <c r="G274" s="170" t="s">
        <v>62</v>
      </c>
      <c r="H274" s="170" t="s">
        <v>796</v>
      </c>
      <c r="I274" s="179">
        <v>1</v>
      </c>
      <c r="J274" s="170" t="s">
        <v>1191</v>
      </c>
      <c r="K274" s="170"/>
      <c r="L274" s="525">
        <v>2023</v>
      </c>
      <c r="M274" s="170" t="s">
        <v>9</v>
      </c>
      <c r="N274" s="170" t="s">
        <v>2108</v>
      </c>
      <c r="O274" s="181"/>
      <c r="P274" s="170"/>
      <c r="Q274" s="176"/>
      <c r="R274" s="184"/>
      <c r="S274" s="170"/>
      <c r="T274" s="170"/>
      <c r="U274" s="170"/>
      <c r="V274" s="170"/>
      <c r="W274" s="170"/>
      <c r="X274" s="170"/>
      <c r="Y274" s="170"/>
      <c r="Z274" s="170"/>
      <c r="AA274" s="170"/>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row>
    <row r="275" spans="1:47" ht="15.75" customHeight="1">
      <c r="A275" s="170" t="s">
        <v>20</v>
      </c>
      <c r="B275" s="171" t="s">
        <v>195</v>
      </c>
      <c r="C275" s="170" t="s">
        <v>793</v>
      </c>
      <c r="D275" s="170" t="s">
        <v>797</v>
      </c>
      <c r="E275" s="170" t="s">
        <v>798</v>
      </c>
      <c r="F275" s="172"/>
      <c r="G275" s="172" t="s">
        <v>62</v>
      </c>
      <c r="H275" s="172"/>
      <c r="I275" s="173"/>
      <c r="J275" s="172"/>
      <c r="K275" s="172"/>
      <c r="L275" s="524"/>
      <c r="M275" s="172"/>
      <c r="N275" s="172"/>
      <c r="O275" s="175"/>
      <c r="P275" s="172"/>
      <c r="Q275" s="176"/>
      <c r="R275" s="177"/>
      <c r="S275" s="172"/>
      <c r="T275" s="172"/>
      <c r="U275" s="172"/>
      <c r="V275" s="172"/>
      <c r="W275" s="172"/>
      <c r="X275" s="172"/>
      <c r="Y275" s="172"/>
      <c r="Z275" s="172"/>
      <c r="AA275" s="17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row>
    <row r="276" spans="1:47" ht="96.75" customHeight="1">
      <c r="A276" s="170" t="s">
        <v>20</v>
      </c>
      <c r="B276" s="171" t="s">
        <v>195</v>
      </c>
      <c r="C276" s="170" t="s">
        <v>793</v>
      </c>
      <c r="D276" s="170" t="s">
        <v>799</v>
      </c>
      <c r="E276" s="178" t="s">
        <v>800</v>
      </c>
      <c r="F276" s="170" t="s">
        <v>1929</v>
      </c>
      <c r="G276" s="170" t="s">
        <v>62</v>
      </c>
      <c r="H276" s="170" t="s">
        <v>801</v>
      </c>
      <c r="I276" s="179">
        <v>1</v>
      </c>
      <c r="J276" s="170" t="s">
        <v>1191</v>
      </c>
      <c r="K276" s="170" t="s">
        <v>2109</v>
      </c>
      <c r="L276" s="525">
        <v>2023</v>
      </c>
      <c r="M276" s="170" t="s">
        <v>10</v>
      </c>
      <c r="N276" s="170" t="s">
        <v>2110</v>
      </c>
      <c r="O276" s="181"/>
      <c r="P276" s="170"/>
      <c r="Q276" s="176"/>
      <c r="R276" s="184"/>
      <c r="S276" s="170"/>
      <c r="T276" s="170"/>
      <c r="U276" s="170"/>
      <c r="V276" s="170"/>
      <c r="W276" s="170"/>
      <c r="X276" s="170"/>
      <c r="Y276" s="170"/>
      <c r="Z276" s="170"/>
      <c r="AA276" s="170"/>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row>
    <row r="277" spans="1:47" ht="15.75" customHeight="1">
      <c r="A277" s="170" t="s">
        <v>20</v>
      </c>
      <c r="B277" s="171" t="s">
        <v>195</v>
      </c>
      <c r="C277" s="170" t="s">
        <v>793</v>
      </c>
      <c r="D277" s="170" t="s">
        <v>802</v>
      </c>
      <c r="E277" s="178" t="s">
        <v>803</v>
      </c>
      <c r="F277" s="170" t="s">
        <v>1821</v>
      </c>
      <c r="G277" s="170" t="s">
        <v>62</v>
      </c>
      <c r="H277" s="170" t="s">
        <v>804</v>
      </c>
      <c r="I277" s="179">
        <v>1</v>
      </c>
      <c r="J277" s="170" t="s">
        <v>1191</v>
      </c>
      <c r="K277" s="170" t="s">
        <v>2111</v>
      </c>
      <c r="L277" s="525">
        <v>2023</v>
      </c>
      <c r="M277" s="170" t="s">
        <v>9</v>
      </c>
      <c r="N277" s="170" t="s">
        <v>2108</v>
      </c>
      <c r="O277" s="181"/>
      <c r="P277" s="170"/>
      <c r="Q277" s="176"/>
      <c r="R277" s="184"/>
      <c r="S277" s="170"/>
      <c r="T277" s="170"/>
      <c r="U277" s="170"/>
      <c r="V277" s="170"/>
      <c r="W277" s="170"/>
      <c r="X277" s="170"/>
      <c r="Y277" s="170"/>
      <c r="Z277" s="170"/>
      <c r="AA277" s="170"/>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row>
    <row r="278" spans="1:47" ht="79.5" hidden="1" customHeight="1">
      <c r="A278" s="170" t="s">
        <v>20</v>
      </c>
      <c r="B278" s="171" t="s">
        <v>195</v>
      </c>
      <c r="C278" s="170" t="s">
        <v>793</v>
      </c>
      <c r="D278" s="170" t="s">
        <v>805</v>
      </c>
      <c r="E278" s="170" t="s">
        <v>806</v>
      </c>
      <c r="F278" s="170"/>
      <c r="G278" s="170" t="s">
        <v>71</v>
      </c>
      <c r="H278" s="170" t="s">
        <v>807</v>
      </c>
      <c r="I278" s="170" t="s">
        <v>135</v>
      </c>
      <c r="J278" s="170"/>
      <c r="K278" s="170"/>
      <c r="L278" s="180"/>
      <c r="M278" s="170"/>
      <c r="N278" s="170"/>
      <c r="O278" s="181"/>
      <c r="P278" s="170"/>
      <c r="Q278" s="176"/>
      <c r="R278" s="184"/>
      <c r="S278" s="170"/>
      <c r="T278" s="170"/>
      <c r="U278" s="170"/>
      <c r="V278" s="170"/>
      <c r="W278" s="170"/>
      <c r="X278" s="170"/>
      <c r="Y278" s="170"/>
      <c r="Z278" s="170"/>
      <c r="AA278" s="170"/>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row>
    <row r="279" spans="1:47" ht="15.75" customHeight="1">
      <c r="A279" s="170" t="s">
        <v>20</v>
      </c>
      <c r="B279" s="171" t="s">
        <v>195</v>
      </c>
      <c r="C279" s="170" t="s">
        <v>808</v>
      </c>
      <c r="D279" s="170" t="s">
        <v>809</v>
      </c>
      <c r="E279" s="170" t="s">
        <v>810</v>
      </c>
      <c r="F279" s="170" t="s">
        <v>1821</v>
      </c>
      <c r="G279" s="170" t="s">
        <v>62</v>
      </c>
      <c r="H279" s="170" t="s">
        <v>811</v>
      </c>
      <c r="I279" s="179">
        <v>1</v>
      </c>
      <c r="J279" s="170" t="s">
        <v>1191</v>
      </c>
      <c r="K279" s="170" t="s">
        <v>2112</v>
      </c>
      <c r="L279" s="525">
        <v>2023</v>
      </c>
      <c r="M279" s="170" t="s">
        <v>11</v>
      </c>
      <c r="N279" s="170" t="s">
        <v>2051</v>
      </c>
      <c r="O279" s="181"/>
      <c r="P279" s="170"/>
      <c r="Q279" s="176"/>
      <c r="R279" s="184"/>
      <c r="S279" s="170"/>
      <c r="T279" s="170"/>
      <c r="U279" s="170"/>
      <c r="V279" s="170"/>
      <c r="W279" s="170"/>
      <c r="X279" s="170"/>
      <c r="Y279" s="170"/>
      <c r="Z279" s="170"/>
      <c r="AA279" s="170"/>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row>
    <row r="280" spans="1:47" ht="15.75" customHeight="1">
      <c r="A280" s="170" t="s">
        <v>20</v>
      </c>
      <c r="B280" s="171" t="s">
        <v>195</v>
      </c>
      <c r="C280" s="170" t="s">
        <v>808</v>
      </c>
      <c r="D280" s="170" t="s">
        <v>812</v>
      </c>
      <c r="E280" s="170" t="s">
        <v>813</v>
      </c>
      <c r="F280" s="170" t="s">
        <v>1816</v>
      </c>
      <c r="G280" s="170" t="s">
        <v>62</v>
      </c>
      <c r="H280" s="170" t="s">
        <v>814</v>
      </c>
      <c r="I280" s="170" t="s">
        <v>210</v>
      </c>
      <c r="J280" s="170" t="s">
        <v>1090</v>
      </c>
      <c r="K280" s="170" t="s">
        <v>2113</v>
      </c>
      <c r="L280" s="525"/>
      <c r="M280" s="170"/>
      <c r="N280" s="170"/>
      <c r="O280" s="181"/>
      <c r="P280" s="170"/>
      <c r="Q280" s="176"/>
      <c r="R280" s="184"/>
      <c r="S280" s="170"/>
      <c r="T280" s="170"/>
      <c r="U280" s="170"/>
      <c r="V280" s="170"/>
      <c r="W280" s="170"/>
      <c r="X280" s="170"/>
      <c r="Y280" s="170"/>
      <c r="Z280" s="170"/>
      <c r="AA280" s="170"/>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row>
    <row r="281" spans="1:47" ht="15.75" customHeight="1">
      <c r="A281" s="170" t="s">
        <v>20</v>
      </c>
      <c r="B281" s="171" t="s">
        <v>195</v>
      </c>
      <c r="C281" s="170" t="s">
        <v>815</v>
      </c>
      <c r="D281" s="170" t="s">
        <v>816</v>
      </c>
      <c r="E281" s="170" t="s">
        <v>253</v>
      </c>
      <c r="F281" s="170" t="s">
        <v>1816</v>
      </c>
      <c r="G281" s="170" t="s">
        <v>62</v>
      </c>
      <c r="H281" s="170" t="s">
        <v>254</v>
      </c>
      <c r="I281" s="179">
        <v>1</v>
      </c>
      <c r="J281" s="170" t="s">
        <v>1090</v>
      </c>
      <c r="K281" s="246">
        <v>42491</v>
      </c>
      <c r="L281" s="525"/>
      <c r="M281" s="170"/>
      <c r="N281" s="170"/>
      <c r="O281" s="181"/>
      <c r="P281" s="170"/>
      <c r="Q281" s="176"/>
      <c r="R281" s="184"/>
      <c r="S281" s="170"/>
      <c r="T281" s="170"/>
      <c r="U281" s="170"/>
      <c r="V281" s="170"/>
      <c r="W281" s="170"/>
      <c r="X281" s="170"/>
      <c r="Y281" s="170"/>
      <c r="Z281" s="170"/>
      <c r="AA281" s="170"/>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row>
    <row r="282" spans="1:47" ht="15.75" customHeight="1">
      <c r="A282" s="170" t="s">
        <v>20</v>
      </c>
      <c r="B282" s="171" t="s">
        <v>195</v>
      </c>
      <c r="C282" s="170" t="s">
        <v>815</v>
      </c>
      <c r="D282" s="170" t="s">
        <v>817</v>
      </c>
      <c r="E282" s="170" t="s">
        <v>818</v>
      </c>
      <c r="F282" s="172"/>
      <c r="G282" s="172" t="s">
        <v>62</v>
      </c>
      <c r="H282" s="172"/>
      <c r="I282" s="173"/>
      <c r="J282" s="172"/>
      <c r="K282" s="172"/>
      <c r="L282" s="524"/>
      <c r="M282" s="172"/>
      <c r="N282" s="172"/>
      <c r="O282" s="175"/>
      <c r="P282" s="172"/>
      <c r="Q282" s="176"/>
      <c r="R282" s="177"/>
      <c r="S282" s="172"/>
      <c r="T282" s="172"/>
      <c r="U282" s="172"/>
      <c r="V282" s="172"/>
      <c r="W282" s="172"/>
      <c r="X282" s="172"/>
      <c r="Y282" s="172"/>
      <c r="Z282" s="172"/>
      <c r="AA282" s="17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row>
    <row r="283" spans="1:47" ht="15.75" customHeight="1">
      <c r="A283" s="170" t="s">
        <v>20</v>
      </c>
      <c r="B283" s="171" t="s">
        <v>195</v>
      </c>
      <c r="C283" s="170" t="s">
        <v>815</v>
      </c>
      <c r="D283" s="170" t="s">
        <v>819</v>
      </c>
      <c r="E283" s="178" t="s">
        <v>820</v>
      </c>
      <c r="F283" s="170" t="s">
        <v>1821</v>
      </c>
      <c r="G283" s="170" t="s">
        <v>62</v>
      </c>
      <c r="H283" s="170" t="s">
        <v>821</v>
      </c>
      <c r="I283" s="179">
        <v>1</v>
      </c>
      <c r="J283" s="170" t="s">
        <v>1191</v>
      </c>
      <c r="K283" s="170" t="s">
        <v>2114</v>
      </c>
      <c r="L283" s="525">
        <v>2023</v>
      </c>
      <c r="M283" s="170" t="s">
        <v>10</v>
      </c>
      <c r="N283" s="170" t="s">
        <v>2115</v>
      </c>
      <c r="O283" s="181"/>
      <c r="P283" s="170" t="s">
        <v>2116</v>
      </c>
      <c r="Q283" s="176"/>
      <c r="R283" s="184"/>
      <c r="S283" s="170"/>
      <c r="T283" s="170"/>
      <c r="U283" s="170"/>
      <c r="V283" s="170"/>
      <c r="W283" s="170"/>
      <c r="X283" s="170"/>
      <c r="Y283" s="170"/>
      <c r="Z283" s="170"/>
      <c r="AA283" s="170"/>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row>
    <row r="284" spans="1:47" ht="15.75" customHeight="1">
      <c r="A284" s="170" t="s">
        <v>20</v>
      </c>
      <c r="B284" s="171" t="s">
        <v>195</v>
      </c>
      <c r="C284" s="170" t="s">
        <v>815</v>
      </c>
      <c r="D284" s="170" t="s">
        <v>822</v>
      </c>
      <c r="E284" s="178" t="s">
        <v>823</v>
      </c>
      <c r="F284" s="170" t="s">
        <v>1821</v>
      </c>
      <c r="G284" s="170" t="s">
        <v>62</v>
      </c>
      <c r="H284" s="170" t="s">
        <v>824</v>
      </c>
      <c r="I284" s="179">
        <v>1</v>
      </c>
      <c r="J284" s="170" t="s">
        <v>1191</v>
      </c>
      <c r="K284" s="170" t="s">
        <v>2117</v>
      </c>
      <c r="L284" s="525">
        <v>2023</v>
      </c>
      <c r="M284" s="170" t="s">
        <v>10</v>
      </c>
      <c r="N284" s="236" t="s">
        <v>2118</v>
      </c>
      <c r="O284" s="181"/>
      <c r="P284" s="170" t="s">
        <v>2119</v>
      </c>
      <c r="Q284" s="176"/>
      <c r="R284" s="184"/>
      <c r="S284" s="170"/>
      <c r="T284" s="170"/>
      <c r="U284" s="170"/>
      <c r="V284" s="170"/>
      <c r="W284" s="170"/>
      <c r="X284" s="170"/>
      <c r="Y284" s="170"/>
      <c r="Z284" s="170"/>
      <c r="AA284" s="170"/>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row>
    <row r="285" spans="1:47" ht="15.75" customHeight="1">
      <c r="A285" s="170" t="s">
        <v>20</v>
      </c>
      <c r="B285" s="171" t="s">
        <v>195</v>
      </c>
      <c r="C285" s="170" t="s">
        <v>815</v>
      </c>
      <c r="D285" s="170" t="s">
        <v>825</v>
      </c>
      <c r="E285" s="170" t="s">
        <v>826</v>
      </c>
      <c r="F285" s="170" t="s">
        <v>1816</v>
      </c>
      <c r="G285" s="170" t="s">
        <v>62</v>
      </c>
      <c r="H285" s="170" t="s">
        <v>827</v>
      </c>
      <c r="I285" s="179">
        <v>1</v>
      </c>
      <c r="J285" s="170" t="s">
        <v>1090</v>
      </c>
      <c r="K285" s="170" t="s">
        <v>2120</v>
      </c>
      <c r="L285" s="525"/>
      <c r="M285" s="170"/>
      <c r="N285" s="170"/>
      <c r="O285" s="181"/>
      <c r="P285" s="170"/>
      <c r="Q285" s="176"/>
      <c r="R285" s="184"/>
      <c r="S285" s="170"/>
      <c r="T285" s="170"/>
      <c r="U285" s="170"/>
      <c r="V285" s="170"/>
      <c r="W285" s="170"/>
      <c r="X285" s="170"/>
      <c r="Y285" s="170"/>
      <c r="Z285" s="170"/>
      <c r="AA285" s="170"/>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row>
    <row r="286" spans="1:47" ht="15.75" customHeight="1">
      <c r="A286" s="170" t="s">
        <v>20</v>
      </c>
      <c r="B286" s="171" t="s">
        <v>195</v>
      </c>
      <c r="C286" s="170" t="s">
        <v>815</v>
      </c>
      <c r="D286" s="170" t="s">
        <v>828</v>
      </c>
      <c r="E286" s="170" t="s">
        <v>829</v>
      </c>
      <c r="F286" s="170" t="s">
        <v>1816</v>
      </c>
      <c r="G286" s="170" t="s">
        <v>62</v>
      </c>
      <c r="H286" s="170" t="s">
        <v>830</v>
      </c>
      <c r="I286" s="170" t="s">
        <v>831</v>
      </c>
      <c r="J286" s="170" t="s">
        <v>1191</v>
      </c>
      <c r="K286" s="170" t="s">
        <v>2121</v>
      </c>
      <c r="L286" s="525" t="s">
        <v>3966</v>
      </c>
      <c r="M286" s="170"/>
      <c r="N286" s="170"/>
      <c r="O286" s="181"/>
      <c r="P286" s="170" t="s">
        <v>2122</v>
      </c>
      <c r="Q286" s="176"/>
      <c r="R286" s="184"/>
      <c r="S286" s="170"/>
      <c r="T286" s="170"/>
      <c r="U286" s="170"/>
      <c r="V286" s="170"/>
      <c r="W286" s="170"/>
      <c r="X286" s="170"/>
      <c r="Y286" s="170"/>
      <c r="Z286" s="170"/>
      <c r="AA286" s="170"/>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row>
    <row r="287" spans="1:47" ht="15.75" customHeight="1">
      <c r="A287" s="170" t="s">
        <v>20</v>
      </c>
      <c r="B287" s="171" t="s">
        <v>195</v>
      </c>
      <c r="C287" s="170" t="s">
        <v>815</v>
      </c>
      <c r="D287" s="170" t="s">
        <v>832</v>
      </c>
      <c r="E287" s="170" t="s">
        <v>833</v>
      </c>
      <c r="F287" s="170" t="s">
        <v>1821</v>
      </c>
      <c r="G287" s="170" t="s">
        <v>62</v>
      </c>
      <c r="H287" s="170" t="s">
        <v>834</v>
      </c>
      <c r="I287" s="179">
        <v>0.8</v>
      </c>
      <c r="J287" s="170" t="s">
        <v>8</v>
      </c>
      <c r="K287" s="170" t="s">
        <v>2123</v>
      </c>
      <c r="L287" s="525">
        <v>2023</v>
      </c>
      <c r="M287" s="170" t="s">
        <v>10</v>
      </c>
      <c r="N287" s="170" t="s">
        <v>2124</v>
      </c>
      <c r="O287" s="181"/>
      <c r="P287" s="170"/>
      <c r="Q287" s="176"/>
      <c r="R287" s="184"/>
      <c r="S287" s="170"/>
      <c r="T287" s="170"/>
      <c r="U287" s="170"/>
      <c r="V287" s="170"/>
      <c r="W287" s="170"/>
      <c r="X287" s="170"/>
      <c r="Y287" s="170"/>
      <c r="Z287" s="170"/>
      <c r="AA287" s="170"/>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row>
    <row r="288" spans="1:47" ht="15.75" customHeight="1">
      <c r="A288" s="170" t="s">
        <v>20</v>
      </c>
      <c r="B288" s="171" t="s">
        <v>195</v>
      </c>
      <c r="C288" s="170" t="s">
        <v>835</v>
      </c>
      <c r="D288" s="170" t="s">
        <v>836</v>
      </c>
      <c r="E288" s="170" t="s">
        <v>837</v>
      </c>
      <c r="F288" s="170" t="s">
        <v>1821</v>
      </c>
      <c r="G288" s="170" t="s">
        <v>62</v>
      </c>
      <c r="H288" s="170" t="s">
        <v>783</v>
      </c>
      <c r="I288" s="179">
        <v>0.5</v>
      </c>
      <c r="J288" s="170" t="s">
        <v>1090</v>
      </c>
      <c r="K288" s="170" t="s">
        <v>2125</v>
      </c>
      <c r="L288" s="525"/>
      <c r="M288" s="170"/>
      <c r="N288" s="170"/>
      <c r="O288" s="181"/>
      <c r="P288" s="170"/>
      <c r="Q288" s="176"/>
      <c r="R288" s="184"/>
      <c r="S288" s="170"/>
      <c r="T288" s="170"/>
      <c r="U288" s="170"/>
      <c r="V288" s="170"/>
      <c r="W288" s="170"/>
      <c r="X288" s="170"/>
      <c r="Y288" s="170"/>
      <c r="Z288" s="170"/>
      <c r="AA288" s="170"/>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row>
    <row r="289" spans="1:47" ht="15.75" customHeight="1">
      <c r="A289" s="170" t="s">
        <v>20</v>
      </c>
      <c r="B289" s="171" t="s">
        <v>195</v>
      </c>
      <c r="C289" s="170" t="s">
        <v>835</v>
      </c>
      <c r="D289" s="170" t="s">
        <v>838</v>
      </c>
      <c r="E289" s="170" t="s">
        <v>839</v>
      </c>
      <c r="F289" s="170" t="s">
        <v>1821</v>
      </c>
      <c r="G289" s="170" t="s">
        <v>62</v>
      </c>
      <c r="H289" s="170" t="s">
        <v>259</v>
      </c>
      <c r="I289" s="170" t="s">
        <v>210</v>
      </c>
      <c r="J289" s="170" t="s">
        <v>1090</v>
      </c>
      <c r="K289" s="170" t="s">
        <v>2126</v>
      </c>
      <c r="L289" s="525"/>
      <c r="M289" s="170"/>
      <c r="N289" s="170"/>
      <c r="O289" s="181"/>
      <c r="P289" s="170"/>
      <c r="Q289" s="176"/>
      <c r="R289" s="184"/>
      <c r="S289" s="170"/>
      <c r="T289" s="170"/>
      <c r="U289" s="170"/>
      <c r="V289" s="170"/>
      <c r="W289" s="170"/>
      <c r="X289" s="170"/>
      <c r="Y289" s="170"/>
      <c r="Z289" s="170"/>
      <c r="AA289" s="170"/>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row>
    <row r="290" spans="1:47" ht="15.75" customHeight="1">
      <c r="A290" s="170" t="s">
        <v>20</v>
      </c>
      <c r="B290" s="171" t="s">
        <v>195</v>
      </c>
      <c r="C290" s="170" t="s">
        <v>835</v>
      </c>
      <c r="D290" s="170" t="s">
        <v>840</v>
      </c>
      <c r="E290" s="170" t="s">
        <v>841</v>
      </c>
      <c r="F290" s="170" t="s">
        <v>1821</v>
      </c>
      <c r="G290" s="170" t="s">
        <v>62</v>
      </c>
      <c r="H290" s="170" t="s">
        <v>842</v>
      </c>
      <c r="I290" s="170" t="s">
        <v>210</v>
      </c>
      <c r="J290" s="170" t="s">
        <v>8</v>
      </c>
      <c r="K290" s="247"/>
      <c r="L290" s="525">
        <v>2022</v>
      </c>
      <c r="M290" s="170" t="s">
        <v>10</v>
      </c>
      <c r="N290" s="170" t="s">
        <v>1979</v>
      </c>
      <c r="O290" s="181"/>
      <c r="P290" s="170"/>
      <c r="Q290" s="176"/>
      <c r="R290" s="184"/>
      <c r="S290" s="170"/>
      <c r="T290" s="170"/>
      <c r="U290" s="170"/>
      <c r="V290" s="170"/>
      <c r="W290" s="170"/>
      <c r="X290" s="170"/>
      <c r="Y290" s="170"/>
      <c r="Z290" s="170"/>
      <c r="AA290" s="170"/>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row>
    <row r="291" spans="1:47" ht="15.75" customHeight="1">
      <c r="A291" s="170" t="s">
        <v>20</v>
      </c>
      <c r="B291" s="171" t="s">
        <v>195</v>
      </c>
      <c r="C291" s="170" t="s">
        <v>835</v>
      </c>
      <c r="D291" s="170" t="s">
        <v>843</v>
      </c>
      <c r="E291" s="170" t="s">
        <v>844</v>
      </c>
      <c r="F291" s="170" t="s">
        <v>1816</v>
      </c>
      <c r="G291" s="170" t="s">
        <v>62</v>
      </c>
      <c r="H291" s="170" t="s">
        <v>845</v>
      </c>
      <c r="I291" s="170" t="s">
        <v>846</v>
      </c>
      <c r="J291" s="170" t="s">
        <v>1191</v>
      </c>
      <c r="K291" s="170" t="s">
        <v>2127</v>
      </c>
      <c r="L291" s="525">
        <v>2023</v>
      </c>
      <c r="M291" s="170" t="s">
        <v>10</v>
      </c>
      <c r="N291" s="170" t="s">
        <v>1979</v>
      </c>
      <c r="O291" s="181"/>
      <c r="P291" s="170" t="s">
        <v>2128</v>
      </c>
      <c r="Q291" s="176"/>
      <c r="R291" s="184"/>
      <c r="S291" s="170"/>
      <c r="T291" s="170"/>
      <c r="U291" s="170"/>
      <c r="V291" s="170"/>
      <c r="W291" s="170"/>
      <c r="X291" s="170"/>
      <c r="Y291" s="170"/>
      <c r="Z291" s="170"/>
      <c r="AA291" s="170"/>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row>
    <row r="292" spans="1:47" ht="15.75" customHeight="1">
      <c r="A292" s="170" t="s">
        <v>20</v>
      </c>
      <c r="B292" s="171" t="s">
        <v>195</v>
      </c>
      <c r="C292" s="170" t="s">
        <v>835</v>
      </c>
      <c r="D292" s="170" t="s">
        <v>847</v>
      </c>
      <c r="E292" s="170" t="s">
        <v>848</v>
      </c>
      <c r="F292" s="170" t="s">
        <v>1816</v>
      </c>
      <c r="G292" s="170" t="s">
        <v>62</v>
      </c>
      <c r="H292" s="170" t="s">
        <v>849</v>
      </c>
      <c r="I292" s="170" t="s">
        <v>135</v>
      </c>
      <c r="J292" s="170" t="s">
        <v>8</v>
      </c>
      <c r="K292" s="170" t="s">
        <v>2129</v>
      </c>
      <c r="L292" s="525">
        <v>2022</v>
      </c>
      <c r="M292" s="170" t="s">
        <v>9</v>
      </c>
      <c r="N292" s="170" t="s">
        <v>2130</v>
      </c>
      <c r="O292" s="181"/>
      <c r="P292" s="170"/>
      <c r="Q292" s="176"/>
      <c r="R292" s="184"/>
      <c r="S292" s="170"/>
      <c r="T292" s="170"/>
      <c r="U292" s="170"/>
      <c r="V292" s="170"/>
      <c r="W292" s="170"/>
      <c r="X292" s="170"/>
      <c r="Y292" s="170"/>
      <c r="Z292" s="170"/>
      <c r="AA292" s="170"/>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row>
    <row r="293" spans="1:47" ht="15.75" customHeight="1">
      <c r="A293" s="170" t="s">
        <v>20</v>
      </c>
      <c r="B293" s="171" t="s">
        <v>274</v>
      </c>
      <c r="C293" s="170" t="s">
        <v>850</v>
      </c>
      <c r="D293" s="170" t="s">
        <v>851</v>
      </c>
      <c r="E293" s="170" t="s">
        <v>852</v>
      </c>
      <c r="F293" s="170" t="s">
        <v>1816</v>
      </c>
      <c r="G293" s="170" t="s">
        <v>62</v>
      </c>
      <c r="H293" s="170" t="s">
        <v>853</v>
      </c>
      <c r="I293" s="170" t="s">
        <v>697</v>
      </c>
      <c r="J293" s="170" t="s">
        <v>1090</v>
      </c>
      <c r="K293" s="170"/>
      <c r="L293" s="525"/>
      <c r="M293" s="170"/>
      <c r="N293" s="170"/>
      <c r="O293" s="181"/>
      <c r="P293" s="170"/>
      <c r="Q293" s="176"/>
      <c r="R293" s="184"/>
      <c r="S293" s="170"/>
      <c r="T293" s="170"/>
      <c r="U293" s="170"/>
      <c r="V293" s="170"/>
      <c r="W293" s="170"/>
      <c r="X293" s="170"/>
      <c r="Y293" s="170"/>
      <c r="Z293" s="170"/>
      <c r="AA293" s="170"/>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row>
    <row r="294" spans="1:47" ht="15.75" customHeight="1">
      <c r="A294" s="170" t="s">
        <v>20</v>
      </c>
      <c r="B294" s="171" t="s">
        <v>274</v>
      </c>
      <c r="C294" s="170" t="s">
        <v>850</v>
      </c>
      <c r="D294" s="170" t="s">
        <v>854</v>
      </c>
      <c r="E294" s="170" t="s">
        <v>855</v>
      </c>
      <c r="F294" s="170" t="s">
        <v>1816</v>
      </c>
      <c r="G294" s="170" t="s">
        <v>62</v>
      </c>
      <c r="H294" s="170" t="s">
        <v>856</v>
      </c>
      <c r="I294" s="170" t="s">
        <v>701</v>
      </c>
      <c r="J294" s="170" t="s">
        <v>1090</v>
      </c>
      <c r="K294" s="170"/>
      <c r="L294" s="525"/>
      <c r="M294" s="170"/>
      <c r="N294" s="170"/>
      <c r="O294" s="181"/>
      <c r="P294" s="170"/>
      <c r="Q294" s="176"/>
      <c r="R294" s="184"/>
      <c r="S294" s="170"/>
      <c r="T294" s="170"/>
      <c r="U294" s="170"/>
      <c r="V294" s="170"/>
      <c r="W294" s="170"/>
      <c r="X294" s="170"/>
      <c r="Y294" s="170"/>
      <c r="Z294" s="170"/>
      <c r="AA294" s="170"/>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row>
    <row r="295" spans="1:47" ht="15.75" customHeight="1">
      <c r="A295" s="170" t="s">
        <v>20</v>
      </c>
      <c r="B295" s="171" t="s">
        <v>274</v>
      </c>
      <c r="C295" s="170" t="s">
        <v>850</v>
      </c>
      <c r="D295" s="170" t="s">
        <v>857</v>
      </c>
      <c r="E295" s="170" t="s">
        <v>858</v>
      </c>
      <c r="F295" s="170" t="s">
        <v>1821</v>
      </c>
      <c r="G295" s="170" t="s">
        <v>62</v>
      </c>
      <c r="H295" s="170" t="s">
        <v>859</v>
      </c>
      <c r="I295" s="179">
        <v>0.5</v>
      </c>
      <c r="J295" s="170" t="s">
        <v>1090</v>
      </c>
      <c r="K295" s="170"/>
      <c r="L295" s="525"/>
      <c r="M295" s="170"/>
      <c r="N295" s="170"/>
      <c r="O295" s="181"/>
      <c r="P295" s="170"/>
      <c r="Q295" s="176"/>
      <c r="R295" s="184"/>
      <c r="S295" s="170"/>
      <c r="T295" s="170"/>
      <c r="U295" s="170"/>
      <c r="V295" s="170"/>
      <c r="W295" s="170"/>
      <c r="X295" s="170"/>
      <c r="Y295" s="170"/>
      <c r="Z295" s="170"/>
      <c r="AA295" s="170"/>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row>
    <row r="296" spans="1:47" ht="15.75" customHeight="1">
      <c r="A296" s="170" t="s">
        <v>20</v>
      </c>
      <c r="B296" s="171" t="s">
        <v>274</v>
      </c>
      <c r="C296" s="170" t="s">
        <v>850</v>
      </c>
      <c r="D296" s="170" t="s">
        <v>860</v>
      </c>
      <c r="E296" s="170" t="s">
        <v>861</v>
      </c>
      <c r="F296" s="170" t="s">
        <v>1821</v>
      </c>
      <c r="G296" s="170" t="s">
        <v>62</v>
      </c>
      <c r="H296" s="170" t="s">
        <v>862</v>
      </c>
      <c r="I296" s="179">
        <v>0.5</v>
      </c>
      <c r="J296" s="170" t="s">
        <v>8</v>
      </c>
      <c r="K296" s="170" t="s">
        <v>2131</v>
      </c>
      <c r="L296" s="525">
        <v>2022</v>
      </c>
      <c r="M296" s="170" t="s">
        <v>10</v>
      </c>
      <c r="N296" s="170" t="s">
        <v>2132</v>
      </c>
      <c r="O296" s="181"/>
      <c r="P296" s="170"/>
      <c r="Q296" s="176"/>
      <c r="R296" s="184"/>
      <c r="S296" s="170"/>
      <c r="T296" s="170"/>
      <c r="U296" s="170"/>
      <c r="V296" s="170"/>
      <c r="W296" s="170"/>
      <c r="X296" s="170"/>
      <c r="Y296" s="170"/>
      <c r="Z296" s="170"/>
      <c r="AA296" s="170"/>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row>
    <row r="297" spans="1:47" ht="15.75" customHeight="1">
      <c r="A297" s="170" t="s">
        <v>20</v>
      </c>
      <c r="B297" s="171" t="s">
        <v>274</v>
      </c>
      <c r="C297" s="170" t="s">
        <v>850</v>
      </c>
      <c r="D297" s="170" t="s">
        <v>863</v>
      </c>
      <c r="E297" s="170" t="s">
        <v>864</v>
      </c>
      <c r="F297" s="170" t="s">
        <v>1821</v>
      </c>
      <c r="G297" s="170" t="s">
        <v>62</v>
      </c>
      <c r="H297" s="170" t="s">
        <v>865</v>
      </c>
      <c r="I297" s="179">
        <v>0.5</v>
      </c>
      <c r="J297" s="170" t="s">
        <v>8</v>
      </c>
      <c r="K297" s="170" t="s">
        <v>2133</v>
      </c>
      <c r="L297" s="525">
        <v>2022</v>
      </c>
      <c r="M297" s="170" t="s">
        <v>9</v>
      </c>
      <c r="N297" s="170" t="s">
        <v>2134</v>
      </c>
      <c r="O297" s="181"/>
      <c r="P297" s="170"/>
      <c r="Q297" s="176"/>
      <c r="R297" s="184"/>
      <c r="S297" s="170"/>
      <c r="T297" s="170"/>
      <c r="U297" s="170"/>
      <c r="V297" s="170"/>
      <c r="W297" s="170"/>
      <c r="X297" s="170"/>
      <c r="Y297" s="170"/>
      <c r="Z297" s="170"/>
      <c r="AA297" s="170"/>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row>
    <row r="298" spans="1:47" ht="15.75" hidden="1" customHeight="1">
      <c r="A298" s="172" t="s">
        <v>20</v>
      </c>
      <c r="B298" s="227" t="s">
        <v>274</v>
      </c>
      <c r="C298" s="172" t="s">
        <v>866</v>
      </c>
      <c r="D298" s="172" t="s">
        <v>582</v>
      </c>
      <c r="E298" s="172" t="s">
        <v>582</v>
      </c>
      <c r="F298" s="172" t="s">
        <v>582</v>
      </c>
      <c r="G298" s="172" t="s">
        <v>582</v>
      </c>
      <c r="H298" s="172" t="s">
        <v>582</v>
      </c>
      <c r="I298" s="172" t="s">
        <v>582</v>
      </c>
      <c r="J298" s="172" t="s">
        <v>582</v>
      </c>
      <c r="K298" s="172" t="s">
        <v>582</v>
      </c>
      <c r="L298" s="172" t="s">
        <v>582</v>
      </c>
      <c r="M298" s="172" t="s">
        <v>582</v>
      </c>
      <c r="N298" s="172"/>
      <c r="O298" s="172"/>
      <c r="P298" s="172"/>
      <c r="Q298" s="228"/>
      <c r="R298" s="177"/>
      <c r="S298" s="172"/>
      <c r="T298" s="172"/>
      <c r="U298" s="172"/>
      <c r="V298" s="172"/>
      <c r="W298" s="172"/>
      <c r="X298" s="172"/>
      <c r="Y298" s="172"/>
      <c r="Z298" s="172"/>
      <c r="AA298" s="17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row>
    <row r="299" spans="1:47" ht="15.75" hidden="1" customHeight="1">
      <c r="A299" s="172" t="s">
        <v>20</v>
      </c>
      <c r="B299" s="227" t="s">
        <v>274</v>
      </c>
      <c r="C299" s="172" t="s">
        <v>867</v>
      </c>
      <c r="D299" s="172" t="s">
        <v>582</v>
      </c>
      <c r="E299" s="172" t="s">
        <v>582</v>
      </c>
      <c r="F299" s="172" t="s">
        <v>582</v>
      </c>
      <c r="G299" s="172" t="s">
        <v>582</v>
      </c>
      <c r="H299" s="172" t="s">
        <v>582</v>
      </c>
      <c r="I299" s="172" t="s">
        <v>582</v>
      </c>
      <c r="J299" s="172" t="s">
        <v>582</v>
      </c>
      <c r="K299" s="172" t="s">
        <v>582</v>
      </c>
      <c r="L299" s="172" t="s">
        <v>582</v>
      </c>
      <c r="M299" s="172" t="s">
        <v>582</v>
      </c>
      <c r="N299" s="172"/>
      <c r="O299" s="172"/>
      <c r="P299" s="172"/>
      <c r="Q299" s="228"/>
      <c r="R299" s="177"/>
      <c r="S299" s="172"/>
      <c r="T299" s="172"/>
      <c r="U299" s="172"/>
      <c r="V299" s="172"/>
      <c r="W299" s="172"/>
      <c r="X299" s="172"/>
      <c r="Y299" s="172"/>
      <c r="Z299" s="172"/>
      <c r="AA299" s="17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row>
    <row r="300" spans="1:47" ht="15.75" customHeight="1">
      <c r="A300" s="170" t="s">
        <v>20</v>
      </c>
      <c r="B300" s="171" t="s">
        <v>274</v>
      </c>
      <c r="C300" s="170" t="s">
        <v>868</v>
      </c>
      <c r="D300" s="170" t="s">
        <v>869</v>
      </c>
      <c r="E300" s="170" t="s">
        <v>870</v>
      </c>
      <c r="F300" s="170" t="s">
        <v>1824</v>
      </c>
      <c r="G300" s="170" t="s">
        <v>62</v>
      </c>
      <c r="H300" s="170" t="s">
        <v>871</v>
      </c>
      <c r="I300" s="170" t="s">
        <v>210</v>
      </c>
      <c r="J300" s="170" t="s">
        <v>1191</v>
      </c>
      <c r="K300" s="170" t="s">
        <v>2135</v>
      </c>
      <c r="L300" s="525">
        <v>2023</v>
      </c>
      <c r="M300" s="170" t="s">
        <v>12</v>
      </c>
      <c r="N300" s="170" t="s">
        <v>2136</v>
      </c>
      <c r="O300" s="181"/>
      <c r="P300" s="170"/>
      <c r="Q300" s="176"/>
      <c r="R300" s="184"/>
      <c r="S300" s="170"/>
      <c r="T300" s="170"/>
      <c r="U300" s="170"/>
      <c r="V300" s="170"/>
      <c r="W300" s="170"/>
      <c r="X300" s="170"/>
      <c r="Y300" s="170"/>
      <c r="Z300" s="170"/>
      <c r="AA300" s="170"/>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row>
    <row r="301" spans="1:47" ht="15.75" customHeight="1">
      <c r="A301" s="170" t="s">
        <v>20</v>
      </c>
      <c r="B301" s="171" t="s">
        <v>274</v>
      </c>
      <c r="C301" s="170" t="s">
        <v>868</v>
      </c>
      <c r="D301" s="170" t="s">
        <v>872</v>
      </c>
      <c r="E301" s="170" t="s">
        <v>873</v>
      </c>
      <c r="F301" s="170" t="s">
        <v>1816</v>
      </c>
      <c r="G301" s="170" t="s">
        <v>62</v>
      </c>
      <c r="H301" s="170" t="s">
        <v>874</v>
      </c>
      <c r="I301" s="170" t="s">
        <v>875</v>
      </c>
      <c r="J301" s="170" t="s">
        <v>1191</v>
      </c>
      <c r="K301" s="170" t="s">
        <v>2137</v>
      </c>
      <c r="L301" s="525">
        <v>2023</v>
      </c>
      <c r="M301" s="170" t="s">
        <v>10</v>
      </c>
      <c r="N301" s="170" t="s">
        <v>2115</v>
      </c>
      <c r="O301" s="181"/>
      <c r="P301" s="170"/>
      <c r="Q301" s="176"/>
      <c r="R301" s="184"/>
      <c r="S301" s="170"/>
      <c r="T301" s="170"/>
      <c r="U301" s="170"/>
      <c r="V301" s="170"/>
      <c r="W301" s="170"/>
      <c r="X301" s="170"/>
      <c r="Y301" s="170"/>
      <c r="Z301" s="170"/>
      <c r="AA301" s="170"/>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row>
    <row r="302" spans="1:47" ht="15.75" customHeight="1">
      <c r="A302" s="170" t="s">
        <v>20</v>
      </c>
      <c r="B302" s="171" t="s">
        <v>274</v>
      </c>
      <c r="C302" s="170" t="s">
        <v>876</v>
      </c>
      <c r="D302" s="170" t="s">
        <v>877</v>
      </c>
      <c r="E302" s="170" t="s">
        <v>878</v>
      </c>
      <c r="F302" s="172"/>
      <c r="G302" s="172" t="s">
        <v>62</v>
      </c>
      <c r="H302" s="172"/>
      <c r="I302" s="173">
        <v>1</v>
      </c>
      <c r="J302" s="172"/>
      <c r="K302" s="172"/>
      <c r="L302" s="524"/>
      <c r="M302" s="172"/>
      <c r="N302" s="172"/>
      <c r="O302" s="175"/>
      <c r="P302" s="172"/>
      <c r="Q302" s="176"/>
      <c r="R302" s="177"/>
      <c r="S302" s="172"/>
      <c r="T302" s="172"/>
      <c r="U302" s="172"/>
      <c r="V302" s="172"/>
      <c r="W302" s="172"/>
      <c r="X302" s="172"/>
      <c r="Y302" s="172"/>
      <c r="Z302" s="172"/>
      <c r="AA302" s="170"/>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row>
    <row r="303" spans="1:47" ht="15.75" customHeight="1">
      <c r="A303" s="170" t="s">
        <v>20</v>
      </c>
      <c r="B303" s="171" t="s">
        <v>587</v>
      </c>
      <c r="C303" s="170" t="s">
        <v>876</v>
      </c>
      <c r="D303" s="170" t="s">
        <v>879</v>
      </c>
      <c r="E303" s="178" t="s">
        <v>880</v>
      </c>
      <c r="F303" s="170" t="s">
        <v>1816</v>
      </c>
      <c r="G303" s="170" t="s">
        <v>62</v>
      </c>
      <c r="H303" s="170" t="s">
        <v>591</v>
      </c>
      <c r="I303" s="179">
        <v>1</v>
      </c>
      <c r="J303" s="170" t="s">
        <v>8</v>
      </c>
      <c r="K303" s="170" t="s">
        <v>2138</v>
      </c>
      <c r="L303" s="525">
        <v>2022</v>
      </c>
      <c r="M303" s="170" t="s">
        <v>10</v>
      </c>
      <c r="N303" s="170" t="s">
        <v>2139</v>
      </c>
      <c r="O303" s="181"/>
      <c r="P303" s="170"/>
      <c r="Q303" s="176"/>
      <c r="R303" s="184"/>
      <c r="S303" s="170"/>
      <c r="T303" s="170"/>
      <c r="U303" s="170"/>
      <c r="V303" s="170"/>
      <c r="W303" s="170"/>
      <c r="X303" s="170"/>
      <c r="Y303" s="170"/>
      <c r="Z303" s="170"/>
      <c r="AA303" s="170"/>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row>
    <row r="304" spans="1:47" ht="15.75" customHeight="1">
      <c r="A304" s="170" t="s">
        <v>20</v>
      </c>
      <c r="B304" s="171" t="s">
        <v>587</v>
      </c>
      <c r="C304" s="170" t="s">
        <v>876</v>
      </c>
      <c r="D304" s="170" t="s">
        <v>881</v>
      </c>
      <c r="E304" s="178" t="s">
        <v>882</v>
      </c>
      <c r="F304" s="170" t="s">
        <v>1821</v>
      </c>
      <c r="G304" s="170" t="s">
        <v>62</v>
      </c>
      <c r="H304" s="170" t="s">
        <v>591</v>
      </c>
      <c r="I304" s="179">
        <v>2</v>
      </c>
      <c r="J304" s="170" t="s">
        <v>1191</v>
      </c>
      <c r="K304" s="170" t="s">
        <v>2140</v>
      </c>
      <c r="L304" s="525">
        <v>2023</v>
      </c>
      <c r="M304" s="170" t="s">
        <v>11</v>
      </c>
      <c r="N304" s="170" t="s">
        <v>2141</v>
      </c>
      <c r="O304" s="181"/>
      <c r="P304" s="248"/>
      <c r="Q304" s="176"/>
      <c r="R304" s="184"/>
      <c r="S304" s="170"/>
      <c r="T304" s="170"/>
      <c r="U304" s="170"/>
      <c r="V304" s="170"/>
      <c r="W304" s="170"/>
      <c r="X304" s="170"/>
      <c r="Y304" s="170"/>
      <c r="Z304" s="170"/>
      <c r="AA304" s="170"/>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row>
    <row r="305" spans="1:47" ht="15.75" customHeight="1">
      <c r="A305" s="170" t="s">
        <v>20</v>
      </c>
      <c r="B305" s="171" t="s">
        <v>587</v>
      </c>
      <c r="C305" s="170" t="s">
        <v>876</v>
      </c>
      <c r="D305" s="170" t="s">
        <v>883</v>
      </c>
      <c r="E305" s="178" t="s">
        <v>884</v>
      </c>
      <c r="F305" s="170" t="s">
        <v>1821</v>
      </c>
      <c r="G305" s="170" t="s">
        <v>62</v>
      </c>
      <c r="H305" s="170" t="s">
        <v>591</v>
      </c>
      <c r="I305" s="179">
        <v>3</v>
      </c>
      <c r="J305" s="170" t="s">
        <v>1191</v>
      </c>
      <c r="K305" s="170" t="s">
        <v>2117</v>
      </c>
      <c r="L305" s="525">
        <v>2023</v>
      </c>
      <c r="M305" s="170" t="s">
        <v>11</v>
      </c>
      <c r="N305" s="170" t="s">
        <v>2051</v>
      </c>
      <c r="O305" s="181"/>
      <c r="P305" s="188" t="s">
        <v>2142</v>
      </c>
      <c r="Q305" s="176"/>
      <c r="R305" s="184"/>
      <c r="S305" s="170"/>
      <c r="T305" s="170"/>
      <c r="U305" s="170"/>
      <c r="V305" s="170"/>
      <c r="W305" s="170"/>
      <c r="X305" s="170"/>
      <c r="Y305" s="170"/>
      <c r="Z305" s="170"/>
      <c r="AA305" s="170"/>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row>
    <row r="306" spans="1:47" ht="15.75" customHeight="1">
      <c r="A306" s="170" t="s">
        <v>20</v>
      </c>
      <c r="B306" s="171" t="s">
        <v>587</v>
      </c>
      <c r="C306" s="170" t="s">
        <v>876</v>
      </c>
      <c r="D306" s="170" t="s">
        <v>885</v>
      </c>
      <c r="E306" s="178" t="s">
        <v>886</v>
      </c>
      <c r="F306" s="170" t="s">
        <v>1821</v>
      </c>
      <c r="G306" s="170" t="s">
        <v>62</v>
      </c>
      <c r="H306" s="170" t="s">
        <v>591</v>
      </c>
      <c r="I306" s="179">
        <v>4</v>
      </c>
      <c r="J306" s="170" t="s">
        <v>1191</v>
      </c>
      <c r="K306" s="170" t="s">
        <v>2117</v>
      </c>
      <c r="L306" s="525">
        <v>2023</v>
      </c>
      <c r="M306" s="170" t="s">
        <v>10</v>
      </c>
      <c r="N306" s="170" t="s">
        <v>2143</v>
      </c>
      <c r="O306" s="181"/>
      <c r="P306" s="188" t="s">
        <v>2144</v>
      </c>
      <c r="Q306" s="176"/>
      <c r="R306" s="184"/>
      <c r="S306" s="170"/>
      <c r="T306" s="170"/>
      <c r="U306" s="170"/>
      <c r="V306" s="170"/>
      <c r="W306" s="170"/>
      <c r="X306" s="170"/>
      <c r="Y306" s="170"/>
      <c r="Z306" s="170"/>
      <c r="AA306" s="170"/>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row>
    <row r="307" spans="1:47" ht="15.75" customHeight="1">
      <c r="A307" s="170" t="s">
        <v>20</v>
      </c>
      <c r="B307" s="171" t="s">
        <v>587</v>
      </c>
      <c r="C307" s="170" t="s">
        <v>876</v>
      </c>
      <c r="D307" s="170" t="s">
        <v>887</v>
      </c>
      <c r="E307" s="178" t="s">
        <v>888</v>
      </c>
      <c r="F307" s="170" t="s">
        <v>1821</v>
      </c>
      <c r="G307" s="170" t="s">
        <v>62</v>
      </c>
      <c r="H307" s="170" t="s">
        <v>591</v>
      </c>
      <c r="I307" s="179">
        <v>5</v>
      </c>
      <c r="J307" s="170" t="s">
        <v>1191</v>
      </c>
      <c r="K307" s="170" t="s">
        <v>2117</v>
      </c>
      <c r="L307" s="525">
        <v>2023</v>
      </c>
      <c r="M307" s="170" t="s">
        <v>10</v>
      </c>
      <c r="N307" s="170" t="s">
        <v>2143</v>
      </c>
      <c r="O307" s="181"/>
      <c r="P307" s="170"/>
      <c r="Q307" s="176"/>
      <c r="R307" s="184"/>
      <c r="S307" s="170"/>
      <c r="T307" s="170"/>
      <c r="U307" s="170"/>
      <c r="V307" s="170"/>
      <c r="W307" s="170"/>
      <c r="X307" s="170"/>
      <c r="Y307" s="170"/>
      <c r="Z307" s="170"/>
      <c r="AA307" s="170"/>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row>
    <row r="308" spans="1:47" ht="15.75" customHeight="1">
      <c r="A308" s="170" t="s">
        <v>20</v>
      </c>
      <c r="B308" s="171" t="s">
        <v>587</v>
      </c>
      <c r="C308" s="170" t="s">
        <v>876</v>
      </c>
      <c r="D308" s="170" t="s">
        <v>889</v>
      </c>
      <c r="E308" s="170" t="s">
        <v>890</v>
      </c>
      <c r="F308" s="170" t="s">
        <v>1816</v>
      </c>
      <c r="G308" s="170" t="s">
        <v>58</v>
      </c>
      <c r="H308" s="170" t="s">
        <v>891</v>
      </c>
      <c r="I308" s="179">
        <v>0.5</v>
      </c>
      <c r="J308" s="170" t="s">
        <v>1191</v>
      </c>
      <c r="K308" s="170" t="s">
        <v>2117</v>
      </c>
      <c r="L308" s="525" t="s">
        <v>3966</v>
      </c>
      <c r="M308" s="170" t="s">
        <v>10</v>
      </c>
      <c r="N308" s="170" t="s">
        <v>2145</v>
      </c>
      <c r="O308" s="181"/>
      <c r="P308" s="170"/>
      <c r="Q308" s="176"/>
      <c r="R308" s="184"/>
      <c r="S308" s="170"/>
      <c r="T308" s="170"/>
      <c r="U308" s="170"/>
      <c r="V308" s="170"/>
      <c r="W308" s="170"/>
      <c r="X308" s="170"/>
      <c r="Y308" s="170"/>
      <c r="Z308" s="170"/>
      <c r="AA308" s="170"/>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row>
    <row r="309" spans="1:47" ht="15.75" customHeight="1">
      <c r="A309" s="170" t="s">
        <v>20</v>
      </c>
      <c r="B309" s="171" t="s">
        <v>587</v>
      </c>
      <c r="C309" s="170" t="s">
        <v>876</v>
      </c>
      <c r="D309" s="170" t="s">
        <v>892</v>
      </c>
      <c r="E309" s="170" t="s">
        <v>893</v>
      </c>
      <c r="F309" s="170" t="s">
        <v>1821</v>
      </c>
      <c r="G309" s="170" t="s">
        <v>62</v>
      </c>
      <c r="H309" s="170" t="s">
        <v>894</v>
      </c>
      <c r="I309" s="179">
        <v>1</v>
      </c>
      <c r="J309" s="170" t="s">
        <v>8</v>
      </c>
      <c r="K309" s="170" t="s">
        <v>2146</v>
      </c>
      <c r="L309" s="525">
        <v>2023</v>
      </c>
      <c r="M309" s="170" t="s">
        <v>10</v>
      </c>
      <c r="N309" s="170" t="s">
        <v>2147</v>
      </c>
      <c r="O309" s="181"/>
      <c r="P309" s="170" t="s">
        <v>2148</v>
      </c>
      <c r="Q309" s="176"/>
      <c r="R309" s="184"/>
      <c r="S309" s="170"/>
      <c r="T309" s="170"/>
      <c r="U309" s="170"/>
      <c r="V309" s="170"/>
      <c r="W309" s="170"/>
      <c r="X309" s="170"/>
      <c r="Y309" s="170"/>
      <c r="Z309" s="170"/>
      <c r="AA309" s="170"/>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row>
    <row r="310" spans="1:47" ht="15.75" customHeight="1">
      <c r="A310" s="170" t="s">
        <v>20</v>
      </c>
      <c r="B310" s="171" t="s">
        <v>587</v>
      </c>
      <c r="C310" s="170" t="s">
        <v>876</v>
      </c>
      <c r="D310" s="170" t="s">
        <v>895</v>
      </c>
      <c r="E310" s="170" t="s">
        <v>896</v>
      </c>
      <c r="F310" s="170" t="s">
        <v>1929</v>
      </c>
      <c r="G310" s="170" t="s">
        <v>62</v>
      </c>
      <c r="H310" s="170" t="s">
        <v>894</v>
      </c>
      <c r="I310" s="179">
        <v>1</v>
      </c>
      <c r="J310" s="170" t="s">
        <v>1191</v>
      </c>
      <c r="K310" s="170" t="s">
        <v>2149</v>
      </c>
      <c r="L310" s="525" t="s">
        <v>3966</v>
      </c>
      <c r="M310" s="170" t="s">
        <v>10</v>
      </c>
      <c r="N310" s="170" t="s">
        <v>2150</v>
      </c>
      <c r="O310" s="181"/>
      <c r="P310" s="249" t="s">
        <v>2151</v>
      </c>
      <c r="Q310" s="176"/>
      <c r="R310" s="184"/>
      <c r="S310" s="170"/>
      <c r="T310" s="170"/>
      <c r="U310" s="170"/>
      <c r="V310" s="170"/>
      <c r="W310" s="170"/>
      <c r="X310" s="170"/>
      <c r="Y310" s="170"/>
      <c r="Z310" s="170"/>
      <c r="AA310" s="170"/>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row>
    <row r="311" spans="1:47" ht="15.75" customHeight="1">
      <c r="A311" s="170" t="s">
        <v>20</v>
      </c>
      <c r="B311" s="171" t="s">
        <v>587</v>
      </c>
      <c r="C311" s="170" t="s">
        <v>897</v>
      </c>
      <c r="D311" s="170" t="s">
        <v>898</v>
      </c>
      <c r="E311" s="170" t="s">
        <v>899</v>
      </c>
      <c r="F311" s="170" t="s">
        <v>1929</v>
      </c>
      <c r="G311" s="170" t="s">
        <v>62</v>
      </c>
      <c r="H311" s="170" t="s">
        <v>735</v>
      </c>
      <c r="I311" s="179">
        <v>1</v>
      </c>
      <c r="J311" s="170" t="s">
        <v>8</v>
      </c>
      <c r="K311" s="170" t="s">
        <v>2152</v>
      </c>
      <c r="L311" s="525">
        <v>2023</v>
      </c>
      <c r="M311" s="170" t="s">
        <v>10</v>
      </c>
      <c r="N311" s="170" t="s">
        <v>2153</v>
      </c>
      <c r="O311" s="181"/>
      <c r="P311" s="248"/>
      <c r="Q311" s="176"/>
      <c r="R311" s="184"/>
      <c r="S311" s="170"/>
      <c r="T311" s="170"/>
      <c r="U311" s="170"/>
      <c r="V311" s="170"/>
      <c r="W311" s="170"/>
      <c r="X311" s="170"/>
      <c r="Y311" s="170"/>
      <c r="Z311" s="170"/>
      <c r="AA311" s="170"/>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row>
    <row r="312" spans="1:47" ht="15.75" customHeight="1">
      <c r="A312" s="170" t="s">
        <v>20</v>
      </c>
      <c r="B312" s="171" t="s">
        <v>587</v>
      </c>
      <c r="C312" s="170" t="s">
        <v>897</v>
      </c>
      <c r="D312" s="170" t="s">
        <v>900</v>
      </c>
      <c r="E312" s="170" t="s">
        <v>899</v>
      </c>
      <c r="F312" s="170" t="s">
        <v>1929</v>
      </c>
      <c r="G312" s="170" t="s">
        <v>62</v>
      </c>
      <c r="H312" s="170" t="s">
        <v>428</v>
      </c>
      <c r="I312" s="179">
        <v>1</v>
      </c>
      <c r="J312" s="170" t="s">
        <v>8</v>
      </c>
      <c r="K312" s="170" t="s">
        <v>2094</v>
      </c>
      <c r="L312" s="525">
        <v>2023</v>
      </c>
      <c r="M312" s="170" t="s">
        <v>10</v>
      </c>
      <c r="N312" s="170" t="s">
        <v>2154</v>
      </c>
      <c r="O312" s="181"/>
      <c r="P312" s="170"/>
      <c r="Q312" s="176"/>
      <c r="R312" s="184"/>
      <c r="S312" s="170"/>
      <c r="T312" s="170"/>
      <c r="U312" s="170"/>
      <c r="V312" s="170"/>
      <c r="W312" s="170"/>
      <c r="X312" s="170"/>
      <c r="Y312" s="170"/>
      <c r="Z312" s="170"/>
      <c r="AA312" s="170"/>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row>
    <row r="313" spans="1:47" ht="15.75" customHeight="1">
      <c r="A313" s="170" t="s">
        <v>20</v>
      </c>
      <c r="B313" s="171" t="s">
        <v>587</v>
      </c>
      <c r="C313" s="170" t="s">
        <v>901</v>
      </c>
      <c r="D313" s="170" t="s">
        <v>902</v>
      </c>
      <c r="E313" s="170" t="s">
        <v>903</v>
      </c>
      <c r="F313" s="170" t="s">
        <v>1821</v>
      </c>
      <c r="G313" s="170" t="s">
        <v>62</v>
      </c>
      <c r="H313" s="170" t="s">
        <v>623</v>
      </c>
      <c r="I313" s="179">
        <v>1</v>
      </c>
      <c r="J313" s="170" t="s">
        <v>1191</v>
      </c>
      <c r="K313" s="180">
        <v>2023</v>
      </c>
      <c r="L313" s="525"/>
      <c r="M313" s="170" t="s">
        <v>10</v>
      </c>
      <c r="N313" s="170" t="s">
        <v>2155</v>
      </c>
      <c r="O313" s="181"/>
      <c r="P313" s="170"/>
      <c r="Q313" s="176"/>
      <c r="R313" s="184"/>
      <c r="S313" s="170"/>
      <c r="T313" s="170"/>
      <c r="U313" s="170"/>
      <c r="V313" s="170"/>
      <c r="W313" s="170"/>
      <c r="X313" s="170"/>
      <c r="Y313" s="170"/>
      <c r="Z313" s="170"/>
      <c r="AA313" s="170"/>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row>
    <row r="314" spans="1:47" ht="15.75" customHeight="1">
      <c r="A314" s="170" t="s">
        <v>20</v>
      </c>
      <c r="B314" s="171" t="s">
        <v>587</v>
      </c>
      <c r="C314" s="170" t="s">
        <v>901</v>
      </c>
      <c r="D314" s="170" t="s">
        <v>904</v>
      </c>
      <c r="E314" s="170" t="s">
        <v>905</v>
      </c>
      <c r="F314" s="170" t="s">
        <v>1929</v>
      </c>
      <c r="G314" s="170" t="s">
        <v>62</v>
      </c>
      <c r="H314" s="170" t="s">
        <v>742</v>
      </c>
      <c r="I314" s="179">
        <v>0.5</v>
      </c>
      <c r="J314" s="170" t="s">
        <v>8</v>
      </c>
      <c r="K314" s="170"/>
      <c r="L314" s="533">
        <v>2023</v>
      </c>
      <c r="M314" s="170" t="s">
        <v>10</v>
      </c>
      <c r="N314" s="170" t="s">
        <v>2097</v>
      </c>
      <c r="O314" s="181"/>
      <c r="P314" s="170"/>
      <c r="Q314" s="176"/>
      <c r="R314" s="184"/>
      <c r="S314" s="170"/>
      <c r="T314" s="170"/>
      <c r="U314" s="170"/>
      <c r="V314" s="170"/>
      <c r="W314" s="170"/>
      <c r="X314" s="170"/>
      <c r="Y314" s="170"/>
      <c r="Z314" s="170"/>
      <c r="AA314" s="170"/>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row>
    <row r="315" spans="1:47" ht="15.75" customHeight="1">
      <c r="A315" s="170" t="s">
        <v>20</v>
      </c>
      <c r="B315" s="171" t="s">
        <v>587</v>
      </c>
      <c r="C315" s="170" t="s">
        <v>901</v>
      </c>
      <c r="D315" s="170" t="s">
        <v>906</v>
      </c>
      <c r="E315" s="170" t="s">
        <v>907</v>
      </c>
      <c r="F315" s="170" t="s">
        <v>1929</v>
      </c>
      <c r="G315" s="170" t="s">
        <v>58</v>
      </c>
      <c r="H315" s="170" t="s">
        <v>745</v>
      </c>
      <c r="I315" s="179">
        <v>0.5</v>
      </c>
      <c r="J315" s="170" t="s">
        <v>8</v>
      </c>
      <c r="K315" s="170" t="s">
        <v>2156</v>
      </c>
      <c r="L315" s="525">
        <v>2023</v>
      </c>
      <c r="M315" s="170" t="s">
        <v>10</v>
      </c>
      <c r="N315" s="170" t="s">
        <v>2097</v>
      </c>
      <c r="O315" s="181"/>
      <c r="P315" s="170"/>
      <c r="Q315" s="176"/>
      <c r="R315" s="184"/>
      <c r="S315" s="170"/>
      <c r="T315" s="170"/>
      <c r="U315" s="170"/>
      <c r="V315" s="170"/>
      <c r="W315" s="170"/>
      <c r="X315" s="170"/>
      <c r="Y315" s="170"/>
      <c r="Z315" s="170"/>
      <c r="AA315" s="170"/>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row>
    <row r="316" spans="1:47" ht="15.75" customHeight="1">
      <c r="A316" s="170" t="s">
        <v>20</v>
      </c>
      <c r="B316" s="171" t="s">
        <v>587</v>
      </c>
      <c r="C316" s="170" t="s">
        <v>908</v>
      </c>
      <c r="D316" s="170" t="s">
        <v>909</v>
      </c>
      <c r="E316" s="170" t="s">
        <v>910</v>
      </c>
      <c r="F316" s="170" t="s">
        <v>1929</v>
      </c>
      <c r="G316" s="170" t="s">
        <v>62</v>
      </c>
      <c r="H316" s="170" t="s">
        <v>911</v>
      </c>
      <c r="I316" s="179">
        <v>0.5</v>
      </c>
      <c r="J316" s="170" t="s">
        <v>8</v>
      </c>
      <c r="K316" s="180" t="s">
        <v>3970</v>
      </c>
      <c r="L316" s="525" t="s">
        <v>9</v>
      </c>
      <c r="M316" s="170" t="s">
        <v>2065</v>
      </c>
      <c r="N316" s="170"/>
      <c r="O316" s="181"/>
      <c r="P316" s="170"/>
      <c r="Q316" s="176"/>
      <c r="R316" s="184"/>
      <c r="S316" s="170"/>
      <c r="T316" s="170"/>
      <c r="U316" s="170"/>
      <c r="V316" s="170"/>
      <c r="W316" s="170"/>
      <c r="X316" s="170"/>
      <c r="Y316" s="170"/>
      <c r="Z316" s="170"/>
      <c r="AA316" s="170"/>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row>
    <row r="317" spans="1:47" ht="15.75" customHeight="1">
      <c r="A317" s="170" t="s">
        <v>20</v>
      </c>
      <c r="B317" s="171" t="s">
        <v>587</v>
      </c>
      <c r="C317" s="170" t="s">
        <v>908</v>
      </c>
      <c r="D317" s="170" t="s">
        <v>912</v>
      </c>
      <c r="E317" s="170" t="s">
        <v>913</v>
      </c>
      <c r="F317" s="170" t="s">
        <v>1929</v>
      </c>
      <c r="G317" s="170" t="s">
        <v>62</v>
      </c>
      <c r="H317" s="170" t="s">
        <v>859</v>
      </c>
      <c r="I317" s="179">
        <v>0.5</v>
      </c>
      <c r="J317" s="170" t="s">
        <v>8</v>
      </c>
      <c r="K317" s="180" t="s">
        <v>3971</v>
      </c>
      <c r="L317" s="525" t="s">
        <v>9</v>
      </c>
      <c r="M317" s="170" t="s">
        <v>2065</v>
      </c>
      <c r="N317" s="170"/>
      <c r="O317" s="181"/>
      <c r="P317" s="170"/>
      <c r="Q317" s="176"/>
      <c r="R317" s="184"/>
      <c r="S317" s="170"/>
      <c r="T317" s="170"/>
      <c r="U317" s="170"/>
      <c r="V317" s="170"/>
      <c r="W317" s="170"/>
      <c r="X317" s="170"/>
      <c r="Y317" s="170"/>
      <c r="Z317" s="170"/>
      <c r="AA317" s="170"/>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row>
    <row r="318" spans="1:47" ht="15.75" customHeight="1">
      <c r="A318" s="170" t="s">
        <v>20</v>
      </c>
      <c r="B318" s="171" t="s">
        <v>587</v>
      </c>
      <c r="C318" s="170" t="s">
        <v>908</v>
      </c>
      <c r="D318" s="170" t="s">
        <v>914</v>
      </c>
      <c r="E318" s="170" t="s">
        <v>915</v>
      </c>
      <c r="F318" s="170" t="s">
        <v>1929</v>
      </c>
      <c r="G318" s="170" t="s">
        <v>62</v>
      </c>
      <c r="H318" s="170" t="s">
        <v>916</v>
      </c>
      <c r="I318" s="179">
        <v>0.5</v>
      </c>
      <c r="J318" s="170" t="s">
        <v>8</v>
      </c>
      <c r="K318" s="180" t="s">
        <v>3972</v>
      </c>
      <c r="L318" s="525" t="s">
        <v>9</v>
      </c>
      <c r="M318" s="170" t="s">
        <v>2065</v>
      </c>
      <c r="N318" s="170"/>
      <c r="O318" s="181"/>
      <c r="P318" s="170"/>
      <c r="Q318" s="176"/>
      <c r="R318" s="184"/>
      <c r="S318" s="170"/>
      <c r="T318" s="170"/>
      <c r="U318" s="170"/>
      <c r="V318" s="170"/>
      <c r="W318" s="170"/>
      <c r="X318" s="170"/>
      <c r="Y318" s="170"/>
      <c r="Z318" s="170"/>
      <c r="AA318" s="170"/>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row>
    <row r="319" spans="1:47" ht="15.75" hidden="1" customHeight="1">
      <c r="A319" s="250" t="s">
        <v>917</v>
      </c>
      <c r="B319" s="251"/>
      <c r="C319" s="252"/>
      <c r="D319" s="252"/>
      <c r="E319" s="252"/>
      <c r="F319" s="252"/>
      <c r="G319" s="252"/>
      <c r="H319" s="252"/>
      <c r="I319" s="253"/>
      <c r="J319" s="252"/>
      <c r="K319" s="252"/>
      <c r="L319" s="535"/>
      <c r="M319" s="252"/>
      <c r="N319" s="252"/>
      <c r="O319" s="252"/>
      <c r="P319" s="254"/>
      <c r="Q319" s="255"/>
      <c r="R319" s="256"/>
      <c r="S319" s="252"/>
      <c r="T319" s="252"/>
      <c r="U319" s="252"/>
      <c r="V319" s="252"/>
      <c r="W319" s="252"/>
      <c r="X319" s="252"/>
      <c r="Y319" s="252"/>
      <c r="Z319" s="252"/>
      <c r="AA319" s="25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row>
    <row r="320" spans="1:47" ht="15.75" customHeight="1">
      <c r="A320" s="170" t="s">
        <v>22</v>
      </c>
      <c r="B320" s="171" t="s">
        <v>54</v>
      </c>
      <c r="C320" s="170" t="s">
        <v>918</v>
      </c>
      <c r="D320" s="170" t="s">
        <v>919</v>
      </c>
      <c r="E320" s="170" t="s">
        <v>920</v>
      </c>
      <c r="F320" s="172" t="s">
        <v>1929</v>
      </c>
      <c r="G320" s="172" t="s">
        <v>62</v>
      </c>
      <c r="H320" s="172" t="s">
        <v>921</v>
      </c>
      <c r="I320" s="172" t="s">
        <v>485</v>
      </c>
      <c r="J320" s="172"/>
      <c r="K320" s="172"/>
      <c r="L320" s="525"/>
      <c r="M320" s="172"/>
      <c r="N320" s="170"/>
      <c r="O320" s="175"/>
      <c r="P320" s="172"/>
      <c r="Q320" s="176"/>
      <c r="R320" s="177"/>
      <c r="S320" s="172"/>
      <c r="T320" s="172"/>
      <c r="U320" s="172"/>
      <c r="V320" s="172"/>
      <c r="W320" s="172"/>
      <c r="X320" s="172"/>
      <c r="Y320" s="172"/>
      <c r="Z320" s="172"/>
      <c r="AA320" s="170"/>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row>
    <row r="321" spans="1:47" ht="15.75" customHeight="1">
      <c r="A321" s="170" t="s">
        <v>22</v>
      </c>
      <c r="B321" s="171" t="s">
        <v>54</v>
      </c>
      <c r="C321" s="170" t="s">
        <v>918</v>
      </c>
      <c r="D321" s="170" t="s">
        <v>922</v>
      </c>
      <c r="E321" s="178" t="s">
        <v>923</v>
      </c>
      <c r="F321" s="170" t="s">
        <v>1821</v>
      </c>
      <c r="G321" s="170" t="s">
        <v>62</v>
      </c>
      <c r="H321" s="170" t="s">
        <v>921</v>
      </c>
      <c r="I321" s="170" t="s">
        <v>485</v>
      </c>
      <c r="J321" s="170" t="s">
        <v>8</v>
      </c>
      <c r="K321" s="170"/>
      <c r="L321" s="525">
        <v>2023</v>
      </c>
      <c r="M321" s="170" t="s">
        <v>10</v>
      </c>
      <c r="N321" s="170" t="s">
        <v>2157</v>
      </c>
      <c r="O321" s="181"/>
      <c r="P321" s="170"/>
      <c r="Q321" s="176"/>
      <c r="R321" s="184"/>
      <c r="S321" s="170"/>
      <c r="T321" s="170"/>
      <c r="U321" s="170"/>
      <c r="V321" s="170"/>
      <c r="W321" s="170"/>
      <c r="X321" s="170"/>
      <c r="Y321" s="170"/>
      <c r="Z321" s="170"/>
      <c r="AA321" s="170"/>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row>
    <row r="322" spans="1:47" ht="15.75" customHeight="1">
      <c r="A322" s="170" t="s">
        <v>22</v>
      </c>
      <c r="B322" s="171" t="s">
        <v>54</v>
      </c>
      <c r="C322" s="170" t="s">
        <v>918</v>
      </c>
      <c r="D322" s="170" t="s">
        <v>924</v>
      </c>
      <c r="E322" s="178" t="s">
        <v>925</v>
      </c>
      <c r="F322" s="170" t="s">
        <v>1929</v>
      </c>
      <c r="G322" s="170" t="s">
        <v>62</v>
      </c>
      <c r="H322" s="170" t="s">
        <v>921</v>
      </c>
      <c r="I322" s="170" t="s">
        <v>485</v>
      </c>
      <c r="J322" s="170" t="s">
        <v>1090</v>
      </c>
      <c r="K322" s="236" t="s">
        <v>2101</v>
      </c>
      <c r="L322" s="525"/>
      <c r="M322" s="170"/>
      <c r="N322" s="170"/>
      <c r="O322" s="181"/>
      <c r="P322" s="170" t="s">
        <v>2158</v>
      </c>
      <c r="Q322" s="176"/>
      <c r="R322" s="184"/>
      <c r="S322" s="170"/>
      <c r="T322" s="170"/>
      <c r="U322" s="170"/>
      <c r="V322" s="170"/>
      <c r="W322" s="170"/>
      <c r="X322" s="170"/>
      <c r="Y322" s="170"/>
      <c r="Z322" s="170"/>
      <c r="AA322" s="170"/>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row>
    <row r="323" spans="1:47" ht="15.75" customHeight="1">
      <c r="A323" s="170" t="s">
        <v>22</v>
      </c>
      <c r="B323" s="171" t="s">
        <v>54</v>
      </c>
      <c r="C323" s="170" t="s">
        <v>918</v>
      </c>
      <c r="D323" s="170" t="s">
        <v>926</v>
      </c>
      <c r="E323" s="178" t="s">
        <v>927</v>
      </c>
      <c r="F323" s="170" t="s">
        <v>1821</v>
      </c>
      <c r="G323" s="170" t="s">
        <v>62</v>
      </c>
      <c r="H323" s="170" t="s">
        <v>921</v>
      </c>
      <c r="I323" s="170" t="s">
        <v>485</v>
      </c>
      <c r="J323" s="170" t="s">
        <v>8</v>
      </c>
      <c r="K323" s="170"/>
      <c r="L323" s="525">
        <v>2023</v>
      </c>
      <c r="M323" s="170" t="s">
        <v>10</v>
      </c>
      <c r="N323" s="170" t="s">
        <v>2157</v>
      </c>
      <c r="O323" s="181"/>
      <c r="P323" s="170"/>
      <c r="Q323" s="176"/>
      <c r="R323" s="184"/>
      <c r="S323" s="170"/>
      <c r="T323" s="170"/>
      <c r="U323" s="170"/>
      <c r="V323" s="170"/>
      <c r="W323" s="170"/>
      <c r="X323" s="170"/>
      <c r="Y323" s="170"/>
      <c r="Z323" s="170"/>
      <c r="AA323" s="170"/>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row>
    <row r="324" spans="1:47" ht="15.75" customHeight="1">
      <c r="A324" s="170" t="s">
        <v>22</v>
      </c>
      <c r="B324" s="171" t="s">
        <v>54</v>
      </c>
      <c r="C324" s="170" t="s">
        <v>928</v>
      </c>
      <c r="D324" s="170" t="s">
        <v>929</v>
      </c>
      <c r="E324" s="170" t="s">
        <v>930</v>
      </c>
      <c r="F324" s="172" t="s">
        <v>1821</v>
      </c>
      <c r="G324" s="172" t="s">
        <v>62</v>
      </c>
      <c r="H324" s="172"/>
      <c r="I324" s="172"/>
      <c r="J324" s="172"/>
      <c r="K324" s="172"/>
      <c r="L324" s="524"/>
      <c r="M324" s="172"/>
      <c r="N324" s="170"/>
      <c r="O324" s="175"/>
      <c r="P324" s="172"/>
      <c r="Q324" s="176"/>
      <c r="R324" s="177"/>
      <c r="S324" s="172"/>
      <c r="T324" s="172"/>
      <c r="U324" s="172"/>
      <c r="V324" s="172"/>
      <c r="W324" s="172"/>
      <c r="X324" s="172"/>
      <c r="Y324" s="172"/>
      <c r="Z324" s="172"/>
      <c r="AA324" s="170"/>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row>
    <row r="325" spans="1:47" ht="15.75" customHeight="1">
      <c r="A325" s="170" t="s">
        <v>22</v>
      </c>
      <c r="B325" s="171" t="s">
        <v>54</v>
      </c>
      <c r="C325" s="170" t="s">
        <v>928</v>
      </c>
      <c r="D325" s="170" t="s">
        <v>931</v>
      </c>
      <c r="E325" s="178" t="s">
        <v>932</v>
      </c>
      <c r="F325" s="170" t="s">
        <v>1821</v>
      </c>
      <c r="G325" s="170" t="s">
        <v>62</v>
      </c>
      <c r="H325" s="170" t="s">
        <v>493</v>
      </c>
      <c r="I325" s="170" t="s">
        <v>933</v>
      </c>
      <c r="J325" s="170" t="s">
        <v>8</v>
      </c>
      <c r="K325" s="170"/>
      <c r="L325" s="525">
        <v>2022</v>
      </c>
      <c r="M325" s="170" t="s">
        <v>10</v>
      </c>
      <c r="N325" s="170" t="s">
        <v>2159</v>
      </c>
      <c r="O325" s="181"/>
      <c r="P325" s="170"/>
      <c r="Q325" s="176"/>
      <c r="R325" s="184"/>
      <c r="S325" s="170"/>
      <c r="T325" s="170"/>
      <c r="U325" s="170"/>
      <c r="V325" s="170"/>
      <c r="W325" s="170"/>
      <c r="X325" s="170"/>
      <c r="Y325" s="170"/>
      <c r="Z325" s="170"/>
      <c r="AA325" s="170"/>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row>
    <row r="326" spans="1:47" ht="15.75" customHeight="1">
      <c r="A326" s="170" t="s">
        <v>22</v>
      </c>
      <c r="B326" s="171" t="s">
        <v>54</v>
      </c>
      <c r="C326" s="170" t="s">
        <v>928</v>
      </c>
      <c r="D326" s="170" t="s">
        <v>934</v>
      </c>
      <c r="E326" s="178" t="s">
        <v>935</v>
      </c>
      <c r="F326" s="170" t="s">
        <v>1821</v>
      </c>
      <c r="G326" s="170" t="s">
        <v>62</v>
      </c>
      <c r="H326" s="170" t="s">
        <v>493</v>
      </c>
      <c r="I326" s="170" t="s">
        <v>933</v>
      </c>
      <c r="J326" s="170" t="s">
        <v>1191</v>
      </c>
      <c r="K326" s="170" t="s">
        <v>2160</v>
      </c>
      <c r="L326" s="525">
        <v>2023</v>
      </c>
      <c r="M326" s="170" t="s">
        <v>10</v>
      </c>
      <c r="N326" s="170" t="s">
        <v>2161</v>
      </c>
      <c r="O326" s="181"/>
      <c r="P326" s="170"/>
      <c r="Q326" s="176"/>
      <c r="R326" s="184"/>
      <c r="S326" s="170"/>
      <c r="T326" s="170"/>
      <c r="U326" s="170"/>
      <c r="V326" s="170"/>
      <c r="W326" s="170"/>
      <c r="X326" s="170"/>
      <c r="Y326" s="170"/>
      <c r="Z326" s="170"/>
      <c r="AA326" s="170"/>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row>
    <row r="327" spans="1:47" ht="15.75" customHeight="1">
      <c r="A327" s="170" t="s">
        <v>22</v>
      </c>
      <c r="B327" s="171" t="s">
        <v>54</v>
      </c>
      <c r="C327" s="170" t="s">
        <v>928</v>
      </c>
      <c r="D327" s="170" t="s">
        <v>936</v>
      </c>
      <c r="E327" s="178" t="s">
        <v>937</v>
      </c>
      <c r="F327" s="170" t="s">
        <v>1821</v>
      </c>
      <c r="G327" s="170" t="s">
        <v>62</v>
      </c>
      <c r="H327" s="170" t="s">
        <v>493</v>
      </c>
      <c r="I327" s="170" t="s">
        <v>933</v>
      </c>
      <c r="J327" s="170" t="s">
        <v>1191</v>
      </c>
      <c r="K327" s="170" t="s">
        <v>2162</v>
      </c>
      <c r="L327" s="526" t="s">
        <v>2163</v>
      </c>
      <c r="M327" s="170" t="s">
        <v>10</v>
      </c>
      <c r="N327" s="170" t="s">
        <v>2164</v>
      </c>
      <c r="O327" s="181"/>
      <c r="P327" s="257" t="s">
        <v>2165</v>
      </c>
      <c r="Q327" s="176"/>
      <c r="R327" s="184"/>
      <c r="S327" s="170"/>
      <c r="T327" s="170"/>
      <c r="U327" s="170"/>
      <c r="V327" s="170"/>
      <c r="W327" s="170"/>
      <c r="X327" s="170"/>
      <c r="Y327" s="170"/>
      <c r="Z327" s="170"/>
      <c r="AA327" s="170"/>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row>
    <row r="328" spans="1:47" ht="15.75" customHeight="1">
      <c r="A328" s="170" t="s">
        <v>22</v>
      </c>
      <c r="B328" s="171" t="s">
        <v>54</v>
      </c>
      <c r="C328" s="170" t="s">
        <v>928</v>
      </c>
      <c r="D328" s="170" t="s">
        <v>938</v>
      </c>
      <c r="E328" s="178" t="s">
        <v>939</v>
      </c>
      <c r="F328" s="170" t="s">
        <v>1821</v>
      </c>
      <c r="G328" s="170" t="s">
        <v>62</v>
      </c>
      <c r="H328" s="170" t="s">
        <v>493</v>
      </c>
      <c r="I328" s="170" t="s">
        <v>933</v>
      </c>
      <c r="J328" s="170" t="s">
        <v>1090</v>
      </c>
      <c r="K328" s="170" t="s">
        <v>2166</v>
      </c>
      <c r="L328" s="525"/>
      <c r="M328" s="170"/>
      <c r="N328" s="170"/>
      <c r="O328" s="181"/>
      <c r="P328" s="170" t="s">
        <v>2167</v>
      </c>
      <c r="Q328" s="176"/>
      <c r="R328" s="184"/>
      <c r="S328" s="170"/>
      <c r="T328" s="170"/>
      <c r="U328" s="170"/>
      <c r="V328" s="170"/>
      <c r="W328" s="170"/>
      <c r="X328" s="170"/>
      <c r="Y328" s="170"/>
      <c r="Z328" s="170"/>
      <c r="AA328" s="170"/>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row>
    <row r="329" spans="1:47" ht="111" customHeight="1">
      <c r="A329" s="170" t="s">
        <v>22</v>
      </c>
      <c r="B329" s="171" t="s">
        <v>54</v>
      </c>
      <c r="C329" s="170" t="s">
        <v>928</v>
      </c>
      <c r="D329" s="170" t="s">
        <v>940</v>
      </c>
      <c r="E329" s="170" t="s">
        <v>941</v>
      </c>
      <c r="F329" s="170" t="s">
        <v>1821</v>
      </c>
      <c r="G329" s="170" t="s">
        <v>62</v>
      </c>
      <c r="H329" s="170" t="s">
        <v>525</v>
      </c>
      <c r="I329" s="170" t="s">
        <v>526</v>
      </c>
      <c r="J329" s="170" t="s">
        <v>8</v>
      </c>
      <c r="K329" s="258"/>
      <c r="L329" s="525">
        <v>2023</v>
      </c>
      <c r="M329" s="170" t="s">
        <v>10</v>
      </c>
      <c r="N329" s="170" t="s">
        <v>2025</v>
      </c>
      <c r="O329" s="181"/>
      <c r="P329" s="170"/>
      <c r="Q329" s="176"/>
      <c r="R329" s="184"/>
      <c r="S329" s="170"/>
      <c r="T329" s="170"/>
      <c r="U329" s="170"/>
      <c r="V329" s="170"/>
      <c r="W329" s="170"/>
      <c r="X329" s="170"/>
      <c r="Y329" s="170"/>
      <c r="Z329" s="170"/>
      <c r="AA329" s="170"/>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row>
    <row r="330" spans="1:47" ht="193.5" customHeight="1">
      <c r="A330" s="170" t="s">
        <v>22</v>
      </c>
      <c r="B330" s="171" t="s">
        <v>54</v>
      </c>
      <c r="C330" s="170" t="s">
        <v>928</v>
      </c>
      <c r="D330" s="170" t="s">
        <v>942</v>
      </c>
      <c r="E330" s="170" t="s">
        <v>943</v>
      </c>
      <c r="F330" s="170" t="s">
        <v>1821</v>
      </c>
      <c r="G330" s="170" t="s">
        <v>62</v>
      </c>
      <c r="H330" s="170" t="s">
        <v>944</v>
      </c>
      <c r="I330" s="179">
        <v>1</v>
      </c>
      <c r="J330" s="170" t="s">
        <v>1191</v>
      </c>
      <c r="K330" s="170" t="s">
        <v>2168</v>
      </c>
      <c r="L330" s="525" t="s">
        <v>3966</v>
      </c>
      <c r="M330" s="170"/>
      <c r="N330" s="170"/>
      <c r="O330" s="181"/>
      <c r="P330" s="188" t="s">
        <v>2169</v>
      </c>
      <c r="Q330" s="176"/>
      <c r="R330" s="184"/>
      <c r="S330" s="170"/>
      <c r="T330" s="170"/>
      <c r="U330" s="170"/>
      <c r="V330" s="170"/>
      <c r="W330" s="170"/>
      <c r="X330" s="170"/>
      <c r="Y330" s="170"/>
      <c r="Z330" s="170"/>
      <c r="AA330" s="170"/>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row>
    <row r="331" spans="1:47" ht="60.75" customHeight="1">
      <c r="A331" s="170" t="s">
        <v>22</v>
      </c>
      <c r="B331" s="171" t="s">
        <v>54</v>
      </c>
      <c r="C331" s="170" t="s">
        <v>928</v>
      </c>
      <c r="D331" s="170" t="s">
        <v>945</v>
      </c>
      <c r="E331" s="170" t="s">
        <v>946</v>
      </c>
      <c r="F331" s="170" t="s">
        <v>1816</v>
      </c>
      <c r="G331" s="170" t="s">
        <v>62</v>
      </c>
      <c r="H331" s="170" t="s">
        <v>944</v>
      </c>
      <c r="I331" s="179">
        <v>1</v>
      </c>
      <c r="J331" s="170" t="s">
        <v>1191</v>
      </c>
      <c r="K331" s="170" t="s">
        <v>2170</v>
      </c>
      <c r="L331" s="525">
        <v>2024</v>
      </c>
      <c r="M331" s="170"/>
      <c r="N331" s="170"/>
      <c r="O331" s="181"/>
      <c r="P331" s="170"/>
      <c r="Q331" s="176"/>
      <c r="R331" s="184"/>
      <c r="S331" s="170"/>
      <c r="T331" s="170"/>
      <c r="U331" s="170"/>
      <c r="V331" s="170"/>
      <c r="W331" s="170"/>
      <c r="X331" s="170"/>
      <c r="Y331" s="170"/>
      <c r="Z331" s="170"/>
      <c r="AA331" s="170"/>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row>
    <row r="332" spans="1:47" ht="15.75" hidden="1" customHeight="1">
      <c r="A332" s="172" t="s">
        <v>22</v>
      </c>
      <c r="B332" s="227" t="s">
        <v>54</v>
      </c>
      <c r="C332" s="172" t="s">
        <v>947</v>
      </c>
      <c r="D332" s="172" t="s">
        <v>582</v>
      </c>
      <c r="E332" s="172" t="s">
        <v>582</v>
      </c>
      <c r="F332" s="172" t="s">
        <v>582</v>
      </c>
      <c r="G332" s="172" t="s">
        <v>582</v>
      </c>
      <c r="H332" s="172" t="s">
        <v>582</v>
      </c>
      <c r="I332" s="172" t="s">
        <v>582</v>
      </c>
      <c r="J332" s="172" t="s">
        <v>582</v>
      </c>
      <c r="K332" s="172" t="s">
        <v>582</v>
      </c>
      <c r="L332" s="172" t="s">
        <v>582</v>
      </c>
      <c r="M332" s="172" t="s">
        <v>582</v>
      </c>
      <c r="N332" s="172" t="s">
        <v>582</v>
      </c>
      <c r="O332" s="172" t="s">
        <v>582</v>
      </c>
      <c r="P332" s="172" t="s">
        <v>582</v>
      </c>
      <c r="Q332" s="228"/>
      <c r="R332" s="177" t="s">
        <v>582</v>
      </c>
      <c r="S332" s="172" t="s">
        <v>582</v>
      </c>
      <c r="T332" s="172" t="s">
        <v>582</v>
      </c>
      <c r="U332" s="172"/>
      <c r="V332" s="172" t="s">
        <v>582</v>
      </c>
      <c r="W332" s="172" t="s">
        <v>582</v>
      </c>
      <c r="X332" s="172" t="s">
        <v>582</v>
      </c>
      <c r="Y332" s="172" t="s">
        <v>582</v>
      </c>
      <c r="Z332" s="172" t="s">
        <v>582</v>
      </c>
      <c r="AA332" s="172" t="s">
        <v>582</v>
      </c>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row>
    <row r="333" spans="1:47" ht="46.5" customHeight="1">
      <c r="A333" s="170" t="s">
        <v>22</v>
      </c>
      <c r="B333" s="171" t="s">
        <v>195</v>
      </c>
      <c r="C333" s="170" t="s">
        <v>948</v>
      </c>
      <c r="D333" s="170" t="s">
        <v>949</v>
      </c>
      <c r="E333" s="170" t="s">
        <v>950</v>
      </c>
      <c r="F333" s="170" t="s">
        <v>1821</v>
      </c>
      <c r="G333" s="170" t="s">
        <v>62</v>
      </c>
      <c r="H333" s="170" t="s">
        <v>951</v>
      </c>
      <c r="I333" s="179">
        <v>1</v>
      </c>
      <c r="J333" s="170" t="s">
        <v>8</v>
      </c>
      <c r="K333" s="170"/>
      <c r="L333" s="525">
        <v>2022</v>
      </c>
      <c r="M333" s="170" t="s">
        <v>10</v>
      </c>
      <c r="N333" s="170" t="s">
        <v>2171</v>
      </c>
      <c r="O333" s="181"/>
      <c r="P333" s="170"/>
      <c r="Q333" s="176"/>
      <c r="R333" s="184"/>
      <c r="S333" s="170"/>
      <c r="T333" s="170"/>
      <c r="U333" s="170"/>
      <c r="V333" s="170"/>
      <c r="W333" s="170"/>
      <c r="X333" s="170"/>
      <c r="Y333" s="170"/>
      <c r="Z333" s="170"/>
      <c r="AA333" s="170"/>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row>
    <row r="334" spans="1:47" ht="59.25" customHeight="1">
      <c r="A334" s="170" t="s">
        <v>22</v>
      </c>
      <c r="B334" s="171" t="s">
        <v>195</v>
      </c>
      <c r="C334" s="170" t="s">
        <v>952</v>
      </c>
      <c r="D334" s="170" t="s">
        <v>953</v>
      </c>
      <c r="E334" s="170" t="s">
        <v>954</v>
      </c>
      <c r="F334" s="170" t="s">
        <v>1821</v>
      </c>
      <c r="G334" s="170" t="s">
        <v>62</v>
      </c>
      <c r="H334" s="170" t="s">
        <v>955</v>
      </c>
      <c r="I334" s="179">
        <v>1</v>
      </c>
      <c r="J334" s="170" t="s">
        <v>1090</v>
      </c>
      <c r="K334" s="170" t="s">
        <v>2172</v>
      </c>
      <c r="L334" s="525"/>
      <c r="M334" s="170"/>
      <c r="N334" s="191"/>
      <c r="O334" s="181"/>
      <c r="P334" s="170" t="s">
        <v>2173</v>
      </c>
      <c r="Q334" s="176"/>
      <c r="R334" s="184"/>
      <c r="S334" s="170"/>
      <c r="T334" s="170"/>
      <c r="U334" s="170"/>
      <c r="V334" s="170"/>
      <c r="W334" s="170"/>
      <c r="X334" s="170"/>
      <c r="Y334" s="170"/>
      <c r="Z334" s="170"/>
      <c r="AA334" s="170"/>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row>
    <row r="335" spans="1:47" ht="15.75" hidden="1" customHeight="1">
      <c r="A335" s="172" t="s">
        <v>22</v>
      </c>
      <c r="B335" s="227" t="s">
        <v>195</v>
      </c>
      <c r="C335" s="172" t="s">
        <v>956</v>
      </c>
      <c r="D335" s="172" t="s">
        <v>582</v>
      </c>
      <c r="E335" s="172" t="s">
        <v>582</v>
      </c>
      <c r="F335" s="172" t="s">
        <v>582</v>
      </c>
      <c r="G335" s="172" t="s">
        <v>582</v>
      </c>
      <c r="H335" s="172" t="s">
        <v>582</v>
      </c>
      <c r="I335" s="172" t="s">
        <v>582</v>
      </c>
      <c r="J335" s="172" t="s">
        <v>582</v>
      </c>
      <c r="K335" s="172" t="s">
        <v>582</v>
      </c>
      <c r="L335" s="172" t="s">
        <v>582</v>
      </c>
      <c r="M335" s="172" t="s">
        <v>582</v>
      </c>
      <c r="N335" s="172" t="s">
        <v>582</v>
      </c>
      <c r="O335" s="172" t="s">
        <v>582</v>
      </c>
      <c r="P335" s="172" t="s">
        <v>582</v>
      </c>
      <c r="Q335" s="228"/>
      <c r="R335" s="177" t="s">
        <v>582</v>
      </c>
      <c r="S335" s="172" t="s">
        <v>582</v>
      </c>
      <c r="T335" s="172" t="s">
        <v>582</v>
      </c>
      <c r="U335" s="172"/>
      <c r="V335" s="172" t="s">
        <v>582</v>
      </c>
      <c r="W335" s="172" t="s">
        <v>582</v>
      </c>
      <c r="X335" s="172" t="s">
        <v>582</v>
      </c>
      <c r="Y335" s="172" t="s">
        <v>582</v>
      </c>
      <c r="Z335" s="172" t="s">
        <v>582</v>
      </c>
      <c r="AA335" s="172" t="s">
        <v>582</v>
      </c>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row>
    <row r="336" spans="1:47" ht="15.75" customHeight="1">
      <c r="A336" s="170" t="s">
        <v>22</v>
      </c>
      <c r="B336" s="171" t="s">
        <v>195</v>
      </c>
      <c r="C336" s="170" t="s">
        <v>957</v>
      </c>
      <c r="D336" s="170" t="s">
        <v>958</v>
      </c>
      <c r="E336" s="170" t="s">
        <v>959</v>
      </c>
      <c r="F336" s="170" t="s">
        <v>1821</v>
      </c>
      <c r="G336" s="170" t="s">
        <v>62</v>
      </c>
      <c r="H336" s="170" t="s">
        <v>960</v>
      </c>
      <c r="I336" s="170" t="s">
        <v>671</v>
      </c>
      <c r="J336" s="170" t="s">
        <v>1191</v>
      </c>
      <c r="K336" s="170" t="s">
        <v>2174</v>
      </c>
      <c r="L336" s="525">
        <v>2024</v>
      </c>
      <c r="M336" s="170" t="s">
        <v>10</v>
      </c>
      <c r="N336" s="259" t="s">
        <v>2175</v>
      </c>
      <c r="O336" s="193"/>
      <c r="P336" s="170" t="s">
        <v>2176</v>
      </c>
      <c r="Q336" s="176"/>
      <c r="R336" s="184"/>
      <c r="S336" s="170"/>
      <c r="T336" s="170"/>
      <c r="U336" s="170"/>
      <c r="V336" s="170"/>
      <c r="W336" s="170"/>
      <c r="X336" s="170"/>
      <c r="Y336" s="170"/>
      <c r="Z336" s="170"/>
      <c r="AA336" s="170"/>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row>
    <row r="337" spans="1:47" ht="49.5" customHeight="1">
      <c r="A337" s="170" t="s">
        <v>22</v>
      </c>
      <c r="B337" s="171" t="s">
        <v>195</v>
      </c>
      <c r="C337" s="170" t="s">
        <v>957</v>
      </c>
      <c r="D337" s="170" t="s">
        <v>961</v>
      </c>
      <c r="E337" s="170" t="s">
        <v>962</v>
      </c>
      <c r="F337" s="170" t="s">
        <v>1821</v>
      </c>
      <c r="G337" s="170" t="s">
        <v>62</v>
      </c>
      <c r="H337" s="170" t="s">
        <v>259</v>
      </c>
      <c r="I337" s="170" t="s">
        <v>255</v>
      </c>
      <c r="J337" s="170" t="s">
        <v>1090</v>
      </c>
      <c r="K337" s="170" t="s">
        <v>2177</v>
      </c>
      <c r="L337" s="525"/>
      <c r="M337" s="170"/>
      <c r="N337" s="170"/>
      <c r="O337" s="260"/>
      <c r="P337" s="170"/>
      <c r="Q337" s="176"/>
      <c r="R337" s="184"/>
      <c r="S337" s="170"/>
      <c r="T337" s="170"/>
      <c r="U337" s="170"/>
      <c r="V337" s="170"/>
      <c r="W337" s="170"/>
      <c r="X337" s="170"/>
      <c r="Y337" s="170"/>
      <c r="Z337" s="170"/>
      <c r="AA337" s="170"/>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row>
    <row r="338" spans="1:47" ht="48" customHeight="1">
      <c r="A338" s="170" t="s">
        <v>22</v>
      </c>
      <c r="B338" s="171" t="s">
        <v>195</v>
      </c>
      <c r="C338" s="170" t="s">
        <v>957</v>
      </c>
      <c r="D338" s="170" t="s">
        <v>963</v>
      </c>
      <c r="E338" s="170" t="s">
        <v>964</v>
      </c>
      <c r="F338" s="170" t="s">
        <v>1821</v>
      </c>
      <c r="G338" s="170" t="s">
        <v>62</v>
      </c>
      <c r="H338" s="170" t="s">
        <v>266</v>
      </c>
      <c r="I338" s="170" t="s">
        <v>210</v>
      </c>
      <c r="J338" s="170" t="s">
        <v>8</v>
      </c>
      <c r="K338" s="170"/>
      <c r="L338" s="525">
        <v>2023</v>
      </c>
      <c r="M338" s="170" t="s">
        <v>11</v>
      </c>
      <c r="N338" s="170" t="s">
        <v>2178</v>
      </c>
      <c r="O338" s="181"/>
      <c r="P338" s="170"/>
      <c r="Q338" s="176"/>
      <c r="R338" s="184"/>
      <c r="S338" s="170"/>
      <c r="T338" s="170"/>
      <c r="U338" s="170"/>
      <c r="V338" s="170"/>
      <c r="W338" s="170"/>
      <c r="X338" s="170"/>
      <c r="Y338" s="170"/>
      <c r="Z338" s="170"/>
      <c r="AA338" s="170"/>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row>
    <row r="339" spans="1:47" ht="15.75" customHeight="1">
      <c r="A339" s="170" t="s">
        <v>22</v>
      </c>
      <c r="B339" s="171" t="s">
        <v>195</v>
      </c>
      <c r="C339" s="170" t="s">
        <v>957</v>
      </c>
      <c r="D339" s="170" t="s">
        <v>965</v>
      </c>
      <c r="E339" s="170" t="s">
        <v>966</v>
      </c>
      <c r="F339" s="170" t="s">
        <v>1816</v>
      </c>
      <c r="G339" s="170" t="s">
        <v>62</v>
      </c>
      <c r="H339" s="170" t="s">
        <v>967</v>
      </c>
      <c r="I339" s="170" t="s">
        <v>968</v>
      </c>
      <c r="J339" s="170" t="s">
        <v>8</v>
      </c>
      <c r="K339" s="170" t="s">
        <v>2179</v>
      </c>
      <c r="L339" s="525">
        <v>2023</v>
      </c>
      <c r="M339" s="170" t="s">
        <v>11</v>
      </c>
      <c r="N339" s="170" t="s">
        <v>2173</v>
      </c>
      <c r="O339" s="181"/>
      <c r="P339" s="170"/>
      <c r="Q339" s="176"/>
      <c r="R339" s="184"/>
      <c r="S339" s="170"/>
      <c r="T339" s="170"/>
      <c r="U339" s="170"/>
      <c r="V339" s="170"/>
      <c r="W339" s="170"/>
      <c r="X339" s="170"/>
      <c r="Y339" s="170"/>
      <c r="Z339" s="170"/>
      <c r="AA339" s="170"/>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row>
    <row r="340" spans="1:47" ht="45" customHeight="1">
      <c r="A340" s="170" t="s">
        <v>22</v>
      </c>
      <c r="B340" s="171" t="s">
        <v>195</v>
      </c>
      <c r="C340" s="170" t="s">
        <v>957</v>
      </c>
      <c r="D340" s="170" t="s">
        <v>969</v>
      </c>
      <c r="E340" s="170" t="s">
        <v>970</v>
      </c>
      <c r="F340" s="170" t="s">
        <v>1816</v>
      </c>
      <c r="G340" s="170" t="s">
        <v>62</v>
      </c>
      <c r="H340" s="170" t="s">
        <v>273</v>
      </c>
      <c r="I340" s="170" t="s">
        <v>135</v>
      </c>
      <c r="J340" s="170" t="s">
        <v>8</v>
      </c>
      <c r="K340" s="170" t="s">
        <v>2180</v>
      </c>
      <c r="L340" s="525">
        <v>2022</v>
      </c>
      <c r="M340" s="170" t="s">
        <v>9</v>
      </c>
      <c r="N340" s="170" t="s">
        <v>2181</v>
      </c>
      <c r="O340" s="181"/>
      <c r="P340" s="170"/>
      <c r="Q340" s="176"/>
      <c r="R340" s="184"/>
      <c r="S340" s="170"/>
      <c r="T340" s="170"/>
      <c r="U340" s="170"/>
      <c r="V340" s="170"/>
      <c r="W340" s="170"/>
      <c r="X340" s="170"/>
      <c r="Y340" s="170"/>
      <c r="Z340" s="170"/>
      <c r="AA340" s="170"/>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row>
    <row r="341" spans="1:47" ht="89.25" customHeight="1">
      <c r="A341" s="170" t="s">
        <v>22</v>
      </c>
      <c r="B341" s="171" t="s">
        <v>274</v>
      </c>
      <c r="C341" s="170" t="s">
        <v>971</v>
      </c>
      <c r="D341" s="170" t="s">
        <v>972</v>
      </c>
      <c r="E341" s="170" t="s">
        <v>973</v>
      </c>
      <c r="F341" s="170" t="s">
        <v>1816</v>
      </c>
      <c r="G341" s="170" t="s">
        <v>62</v>
      </c>
      <c r="H341" s="170" t="s">
        <v>974</v>
      </c>
      <c r="I341" s="179">
        <v>1</v>
      </c>
      <c r="J341" s="170" t="s">
        <v>8</v>
      </c>
      <c r="K341" s="170" t="s">
        <v>2182</v>
      </c>
      <c r="L341" s="525" t="s">
        <v>2183</v>
      </c>
      <c r="M341" s="170" t="s">
        <v>10</v>
      </c>
      <c r="N341" s="170" t="s">
        <v>2001</v>
      </c>
      <c r="O341" s="181"/>
      <c r="P341" s="170"/>
      <c r="Q341" s="176"/>
      <c r="R341" s="184"/>
      <c r="S341" s="170"/>
      <c r="T341" s="170"/>
      <c r="U341" s="170"/>
      <c r="V341" s="170"/>
      <c r="W341" s="170"/>
      <c r="X341" s="170"/>
      <c r="Y341" s="170"/>
      <c r="Z341" s="170"/>
      <c r="AA341" s="170"/>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row>
    <row r="342" spans="1:47" ht="15.75" hidden="1" customHeight="1">
      <c r="A342" s="172" t="s">
        <v>22</v>
      </c>
      <c r="B342" s="227" t="s">
        <v>274</v>
      </c>
      <c r="C342" s="172" t="s">
        <v>975</v>
      </c>
      <c r="D342" s="172" t="s">
        <v>582</v>
      </c>
      <c r="E342" s="172" t="s">
        <v>582</v>
      </c>
      <c r="F342" s="172" t="s">
        <v>582</v>
      </c>
      <c r="G342" s="172" t="s">
        <v>582</v>
      </c>
      <c r="H342" s="172" t="s">
        <v>582</v>
      </c>
      <c r="I342" s="172" t="s">
        <v>582</v>
      </c>
      <c r="J342" s="172"/>
      <c r="K342" s="172"/>
      <c r="L342" s="172"/>
      <c r="M342" s="172"/>
      <c r="N342" s="172"/>
      <c r="O342" s="172"/>
      <c r="P342" s="172"/>
      <c r="Q342" s="228"/>
      <c r="R342" s="177"/>
      <c r="S342" s="172"/>
      <c r="T342" s="172"/>
      <c r="U342" s="172"/>
      <c r="V342" s="172"/>
      <c r="W342" s="172"/>
      <c r="X342" s="172"/>
      <c r="Y342" s="172"/>
      <c r="Z342" s="172"/>
      <c r="AA342" s="17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row>
    <row r="343" spans="1:47" ht="15.75" hidden="1" customHeight="1">
      <c r="A343" s="172" t="s">
        <v>22</v>
      </c>
      <c r="B343" s="227" t="s">
        <v>274</v>
      </c>
      <c r="C343" s="172" t="s">
        <v>976</v>
      </c>
      <c r="D343" s="172" t="s">
        <v>582</v>
      </c>
      <c r="E343" s="172" t="s">
        <v>582</v>
      </c>
      <c r="F343" s="172" t="s">
        <v>582</v>
      </c>
      <c r="G343" s="172" t="s">
        <v>582</v>
      </c>
      <c r="H343" s="172" t="s">
        <v>582</v>
      </c>
      <c r="I343" s="172" t="s">
        <v>582</v>
      </c>
      <c r="J343" s="172"/>
      <c r="K343" s="172"/>
      <c r="L343" s="172"/>
      <c r="M343" s="172"/>
      <c r="N343" s="172"/>
      <c r="O343" s="172"/>
      <c r="P343" s="172"/>
      <c r="Q343" s="228"/>
      <c r="R343" s="177"/>
      <c r="S343" s="172"/>
      <c r="T343" s="172"/>
      <c r="U343" s="172"/>
      <c r="V343" s="172"/>
      <c r="W343" s="172"/>
      <c r="X343" s="172"/>
      <c r="Y343" s="172"/>
      <c r="Z343" s="172"/>
      <c r="AA343" s="17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row>
    <row r="344" spans="1:47" ht="15.75" customHeight="1">
      <c r="A344" s="170" t="s">
        <v>22</v>
      </c>
      <c r="B344" s="171" t="s">
        <v>274</v>
      </c>
      <c r="C344" s="170" t="s">
        <v>977</v>
      </c>
      <c r="D344" s="170" t="s">
        <v>978</v>
      </c>
      <c r="E344" s="170" t="s">
        <v>979</v>
      </c>
      <c r="F344" s="170" t="s">
        <v>1929</v>
      </c>
      <c r="G344" s="170" t="s">
        <v>62</v>
      </c>
      <c r="H344" s="170" t="s">
        <v>980</v>
      </c>
      <c r="I344" s="179">
        <v>0.8</v>
      </c>
      <c r="J344" s="170" t="s">
        <v>8</v>
      </c>
      <c r="L344" s="525" t="s">
        <v>2184</v>
      </c>
      <c r="M344" s="170" t="s">
        <v>10</v>
      </c>
      <c r="N344" s="170" t="s">
        <v>2001</v>
      </c>
      <c r="O344" s="181"/>
      <c r="P344" s="170" t="s">
        <v>2185</v>
      </c>
      <c r="Q344" s="176"/>
      <c r="R344" s="184"/>
      <c r="S344" s="170"/>
      <c r="T344" s="170"/>
      <c r="U344" s="170"/>
      <c r="V344" s="170"/>
      <c r="W344" s="170"/>
      <c r="X344" s="170"/>
      <c r="Y344" s="170"/>
      <c r="Z344" s="170"/>
      <c r="AA344" s="170"/>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row>
    <row r="345" spans="1:47" ht="15.75" customHeight="1">
      <c r="A345" s="170" t="s">
        <v>22</v>
      </c>
      <c r="B345" s="171" t="s">
        <v>274</v>
      </c>
      <c r="C345" s="170" t="s">
        <v>977</v>
      </c>
      <c r="D345" s="170" t="s">
        <v>981</v>
      </c>
      <c r="E345" s="170" t="s">
        <v>982</v>
      </c>
      <c r="F345" s="170" t="s">
        <v>1929</v>
      </c>
      <c r="G345" s="170" t="s">
        <v>62</v>
      </c>
      <c r="H345" s="170" t="s">
        <v>983</v>
      </c>
      <c r="I345" s="170" t="s">
        <v>110</v>
      </c>
      <c r="J345" s="170" t="s">
        <v>8</v>
      </c>
      <c r="K345" s="170" t="s">
        <v>2186</v>
      </c>
      <c r="L345" s="525" t="s">
        <v>2187</v>
      </c>
      <c r="M345" s="170" t="s">
        <v>10</v>
      </c>
      <c r="N345" s="170" t="s">
        <v>1979</v>
      </c>
      <c r="O345" s="181"/>
      <c r="P345" s="170" t="s">
        <v>2188</v>
      </c>
      <c r="Q345" s="176"/>
      <c r="R345" s="184"/>
      <c r="S345" s="170"/>
      <c r="T345" s="170"/>
      <c r="U345" s="170"/>
      <c r="V345" s="170"/>
      <c r="W345" s="170"/>
      <c r="X345" s="170"/>
      <c r="Y345" s="170"/>
      <c r="Z345" s="170"/>
      <c r="AA345" s="170"/>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row>
    <row r="346" spans="1:47" ht="15.75" customHeight="1">
      <c r="A346" s="170" t="s">
        <v>22</v>
      </c>
      <c r="B346" s="171" t="s">
        <v>587</v>
      </c>
      <c r="C346" s="170" t="s">
        <v>984</v>
      </c>
      <c r="D346" s="170" t="s">
        <v>985</v>
      </c>
      <c r="E346" s="170" t="s">
        <v>986</v>
      </c>
      <c r="F346" s="172"/>
      <c r="G346" s="172" t="s">
        <v>62</v>
      </c>
      <c r="H346" s="172" t="s">
        <v>591</v>
      </c>
      <c r="I346" s="173">
        <v>1</v>
      </c>
      <c r="J346" s="172"/>
      <c r="K346" s="172"/>
      <c r="L346" s="524"/>
      <c r="M346" s="172"/>
      <c r="N346" s="172"/>
      <c r="O346" s="175"/>
      <c r="P346" s="247"/>
      <c r="Q346" s="176"/>
      <c r="R346" s="177"/>
      <c r="S346" s="172"/>
      <c r="T346" s="172"/>
      <c r="U346" s="172"/>
      <c r="V346" s="172"/>
      <c r="W346" s="172"/>
      <c r="X346" s="172"/>
      <c r="Y346" s="172"/>
      <c r="Z346" s="172"/>
      <c r="AA346" s="17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row>
    <row r="347" spans="1:47" ht="15.75" customHeight="1">
      <c r="A347" s="170" t="s">
        <v>22</v>
      </c>
      <c r="B347" s="171" t="s">
        <v>587</v>
      </c>
      <c r="C347" s="170" t="s">
        <v>984</v>
      </c>
      <c r="D347" s="170" t="s">
        <v>987</v>
      </c>
      <c r="E347" s="178" t="s">
        <v>988</v>
      </c>
      <c r="F347" s="170" t="s">
        <v>1821</v>
      </c>
      <c r="G347" s="170" t="s">
        <v>62</v>
      </c>
      <c r="H347" s="170" t="s">
        <v>591</v>
      </c>
      <c r="I347" s="179">
        <v>1</v>
      </c>
      <c r="J347" s="170" t="s">
        <v>1191</v>
      </c>
      <c r="K347" s="170" t="s">
        <v>2189</v>
      </c>
      <c r="L347" s="525">
        <v>2023</v>
      </c>
      <c r="M347" s="170"/>
      <c r="N347" s="170" t="s">
        <v>2190</v>
      </c>
      <c r="O347" s="181"/>
      <c r="P347" s="170" t="s">
        <v>2191</v>
      </c>
      <c r="Q347" s="176"/>
      <c r="R347" s="184"/>
      <c r="S347" s="170"/>
      <c r="T347" s="170"/>
      <c r="U347" s="170"/>
      <c r="V347" s="170"/>
      <c r="W347" s="170"/>
      <c r="X347" s="170"/>
      <c r="Y347" s="170"/>
      <c r="Z347" s="170"/>
      <c r="AA347" s="170"/>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row>
    <row r="348" spans="1:47" ht="15.75" customHeight="1">
      <c r="A348" s="170" t="s">
        <v>22</v>
      </c>
      <c r="B348" s="171" t="s">
        <v>587</v>
      </c>
      <c r="C348" s="170" t="s">
        <v>984</v>
      </c>
      <c r="D348" s="170" t="s">
        <v>989</v>
      </c>
      <c r="E348" s="178" t="s">
        <v>990</v>
      </c>
      <c r="F348" s="170" t="s">
        <v>1821</v>
      </c>
      <c r="G348" s="170" t="s">
        <v>62</v>
      </c>
      <c r="H348" s="170" t="s">
        <v>591</v>
      </c>
      <c r="I348" s="179">
        <v>1</v>
      </c>
      <c r="J348" s="170" t="s">
        <v>1191</v>
      </c>
      <c r="K348" s="170" t="s">
        <v>2192</v>
      </c>
      <c r="L348" s="525">
        <v>2023</v>
      </c>
      <c r="M348" s="170" t="s">
        <v>10</v>
      </c>
      <c r="N348" s="170" t="s">
        <v>2193</v>
      </c>
      <c r="O348" s="181"/>
      <c r="P348" s="170" t="s">
        <v>2191</v>
      </c>
      <c r="Q348" s="176"/>
      <c r="R348" s="184"/>
      <c r="S348" s="170"/>
      <c r="T348" s="170"/>
      <c r="U348" s="170"/>
      <c r="V348" s="170"/>
      <c r="W348" s="170"/>
      <c r="X348" s="170"/>
      <c r="Y348" s="170"/>
      <c r="Z348" s="170"/>
      <c r="AA348" s="170"/>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row>
    <row r="349" spans="1:47" ht="15.75" customHeight="1">
      <c r="A349" s="170" t="s">
        <v>22</v>
      </c>
      <c r="B349" s="171" t="s">
        <v>587</v>
      </c>
      <c r="C349" s="170" t="s">
        <v>984</v>
      </c>
      <c r="D349" s="170" t="s">
        <v>991</v>
      </c>
      <c r="E349" s="178" t="s">
        <v>992</v>
      </c>
      <c r="F349" s="170" t="s">
        <v>1821</v>
      </c>
      <c r="G349" s="170" t="s">
        <v>62</v>
      </c>
      <c r="H349" s="170" t="s">
        <v>591</v>
      </c>
      <c r="I349" s="179">
        <v>1</v>
      </c>
      <c r="J349" s="170" t="s">
        <v>1191</v>
      </c>
      <c r="K349" s="170" t="s">
        <v>2194</v>
      </c>
      <c r="L349" s="525">
        <v>2023</v>
      </c>
      <c r="M349" s="170" t="s">
        <v>11</v>
      </c>
      <c r="N349" s="170" t="s">
        <v>2051</v>
      </c>
      <c r="O349" s="181"/>
      <c r="P349" s="170" t="s">
        <v>2191</v>
      </c>
      <c r="Q349" s="176"/>
      <c r="R349" s="184"/>
      <c r="S349" s="170"/>
      <c r="T349" s="170"/>
      <c r="U349" s="170"/>
      <c r="V349" s="170"/>
      <c r="W349" s="170"/>
      <c r="X349" s="170"/>
      <c r="Y349" s="170"/>
      <c r="Z349" s="170"/>
      <c r="AA349" s="170"/>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row>
    <row r="350" spans="1:47" ht="15.75" customHeight="1">
      <c r="A350" s="170" t="s">
        <v>22</v>
      </c>
      <c r="B350" s="171" t="s">
        <v>587</v>
      </c>
      <c r="C350" s="170" t="s">
        <v>984</v>
      </c>
      <c r="D350" s="170" t="s">
        <v>993</v>
      </c>
      <c r="E350" s="178" t="s">
        <v>994</v>
      </c>
      <c r="F350" s="170" t="s">
        <v>1821</v>
      </c>
      <c r="G350" s="170" t="s">
        <v>62</v>
      </c>
      <c r="H350" s="170" t="s">
        <v>591</v>
      </c>
      <c r="I350" s="179">
        <v>1</v>
      </c>
      <c r="J350" s="170" t="s">
        <v>1191</v>
      </c>
      <c r="K350" s="170" t="s">
        <v>2195</v>
      </c>
      <c r="L350" s="525">
        <v>2023</v>
      </c>
      <c r="M350" s="170" t="s">
        <v>11</v>
      </c>
      <c r="N350" s="170" t="s">
        <v>2196</v>
      </c>
      <c r="O350" s="181"/>
      <c r="P350" s="170" t="s">
        <v>2191</v>
      </c>
      <c r="Q350" s="176"/>
      <c r="R350" s="184"/>
      <c r="S350" s="170"/>
      <c r="T350" s="170"/>
      <c r="U350" s="170"/>
      <c r="V350" s="170"/>
      <c r="W350" s="170"/>
      <c r="X350" s="170"/>
      <c r="Y350" s="170"/>
      <c r="Z350" s="170"/>
      <c r="AA350" s="170"/>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row>
    <row r="351" spans="1:47" ht="15.75" customHeight="1">
      <c r="A351" s="170" t="s">
        <v>22</v>
      </c>
      <c r="B351" s="171" t="s">
        <v>587</v>
      </c>
      <c r="C351" s="170" t="s">
        <v>984</v>
      </c>
      <c r="D351" s="170" t="s">
        <v>995</v>
      </c>
      <c r="E351" s="178" t="s">
        <v>996</v>
      </c>
      <c r="F351" s="170" t="s">
        <v>1821</v>
      </c>
      <c r="G351" s="170" t="s">
        <v>62</v>
      </c>
      <c r="H351" s="170" t="s">
        <v>591</v>
      </c>
      <c r="I351" s="179">
        <v>1</v>
      </c>
      <c r="J351" s="170" t="s">
        <v>1191</v>
      </c>
      <c r="K351" s="170" t="s">
        <v>2197</v>
      </c>
      <c r="L351" s="525">
        <v>2023</v>
      </c>
      <c r="M351" s="170" t="s">
        <v>11</v>
      </c>
      <c r="N351" s="170" t="s">
        <v>2051</v>
      </c>
      <c r="O351" s="181"/>
      <c r="P351" s="170" t="s">
        <v>2191</v>
      </c>
      <c r="Q351" s="176"/>
      <c r="R351" s="184"/>
      <c r="S351" s="170"/>
      <c r="T351" s="170"/>
      <c r="U351" s="170"/>
      <c r="V351" s="170"/>
      <c r="W351" s="170"/>
      <c r="X351" s="170"/>
      <c r="Y351" s="170"/>
      <c r="Z351" s="170"/>
      <c r="AA351" s="170"/>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row>
    <row r="352" spans="1:47" ht="15.75" customHeight="1">
      <c r="A352" s="170" t="s">
        <v>22</v>
      </c>
      <c r="B352" s="171" t="s">
        <v>587</v>
      </c>
      <c r="C352" s="170" t="s">
        <v>984</v>
      </c>
      <c r="D352" s="170" t="s">
        <v>997</v>
      </c>
      <c r="E352" s="178" t="s">
        <v>998</v>
      </c>
      <c r="F352" s="170" t="s">
        <v>1821</v>
      </c>
      <c r="G352" s="170" t="s">
        <v>62</v>
      </c>
      <c r="H352" s="170" t="s">
        <v>591</v>
      </c>
      <c r="I352" s="179">
        <v>1</v>
      </c>
      <c r="J352" s="170" t="s">
        <v>1191</v>
      </c>
      <c r="K352" s="170" t="s">
        <v>2198</v>
      </c>
      <c r="L352" s="525">
        <v>2023</v>
      </c>
      <c r="M352" s="170" t="s">
        <v>11</v>
      </c>
      <c r="N352" s="170" t="s">
        <v>2199</v>
      </c>
      <c r="O352" s="181"/>
      <c r="P352" s="170" t="s">
        <v>2191</v>
      </c>
      <c r="Q352" s="176"/>
      <c r="R352" s="184"/>
      <c r="S352" s="170"/>
      <c r="T352" s="170"/>
      <c r="U352" s="170"/>
      <c r="V352" s="170"/>
      <c r="W352" s="170"/>
      <c r="X352" s="170"/>
      <c r="Y352" s="170"/>
      <c r="Z352" s="170"/>
      <c r="AA352" s="170"/>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row>
    <row r="353" spans="1:47" ht="15.75" customHeight="1">
      <c r="A353" s="170" t="s">
        <v>22</v>
      </c>
      <c r="B353" s="171" t="s">
        <v>587</v>
      </c>
      <c r="C353" s="170" t="s">
        <v>984</v>
      </c>
      <c r="D353" s="170" t="s">
        <v>999</v>
      </c>
      <c r="E353" s="178" t="s">
        <v>1000</v>
      </c>
      <c r="F353" s="170" t="s">
        <v>1821</v>
      </c>
      <c r="G353" s="170" t="s">
        <v>62</v>
      </c>
      <c r="H353" s="170" t="s">
        <v>591</v>
      </c>
      <c r="I353" s="179">
        <v>1</v>
      </c>
      <c r="J353" s="170" t="s">
        <v>1191</v>
      </c>
      <c r="K353" s="170" t="s">
        <v>2200</v>
      </c>
      <c r="L353" s="525">
        <v>2023</v>
      </c>
      <c r="M353" s="170" t="s">
        <v>11</v>
      </c>
      <c r="N353" s="170" t="s">
        <v>2199</v>
      </c>
      <c r="O353" s="181"/>
      <c r="P353" s="170" t="s">
        <v>2191</v>
      </c>
      <c r="Q353" s="176"/>
      <c r="R353" s="184"/>
      <c r="S353" s="170"/>
      <c r="T353" s="170"/>
      <c r="U353" s="170"/>
      <c r="V353" s="170"/>
      <c r="W353" s="170"/>
      <c r="X353" s="170"/>
      <c r="Y353" s="170"/>
      <c r="Z353" s="170"/>
      <c r="AA353" s="170"/>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row>
    <row r="354" spans="1:47" ht="15.75" customHeight="1">
      <c r="A354" s="170" t="s">
        <v>22</v>
      </c>
      <c r="B354" s="171" t="s">
        <v>587</v>
      </c>
      <c r="C354" s="170" t="s">
        <v>984</v>
      </c>
      <c r="D354" s="170" t="s">
        <v>1001</v>
      </c>
      <c r="E354" s="178" t="s">
        <v>2201</v>
      </c>
      <c r="F354" s="170" t="s">
        <v>1821</v>
      </c>
      <c r="G354" s="170" t="s">
        <v>62</v>
      </c>
      <c r="H354" s="170" t="s">
        <v>591</v>
      </c>
      <c r="I354" s="179">
        <v>1</v>
      </c>
      <c r="J354" s="170" t="s">
        <v>1191</v>
      </c>
      <c r="K354" s="170" t="s">
        <v>2202</v>
      </c>
      <c r="L354" s="525">
        <v>2023</v>
      </c>
      <c r="M354" s="170" t="s">
        <v>11</v>
      </c>
      <c r="N354" s="170" t="s">
        <v>2203</v>
      </c>
      <c r="O354" s="181"/>
      <c r="P354" s="170" t="s">
        <v>2191</v>
      </c>
      <c r="Q354" s="176"/>
      <c r="R354" s="184"/>
      <c r="S354" s="170"/>
      <c r="T354" s="170"/>
      <c r="U354" s="170"/>
      <c r="V354" s="170"/>
      <c r="W354" s="170"/>
      <c r="X354" s="170"/>
      <c r="Y354" s="170"/>
      <c r="Z354" s="170"/>
      <c r="AA354" s="170"/>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row>
    <row r="355" spans="1:47" ht="15.75" customHeight="1">
      <c r="A355" s="170" t="s">
        <v>22</v>
      </c>
      <c r="B355" s="171" t="s">
        <v>587</v>
      </c>
      <c r="C355" s="170" t="s">
        <v>984</v>
      </c>
      <c r="D355" s="170" t="s">
        <v>1003</v>
      </c>
      <c r="E355" s="178" t="s">
        <v>1004</v>
      </c>
      <c r="F355" s="170" t="s">
        <v>1821</v>
      </c>
      <c r="G355" s="170" t="s">
        <v>62</v>
      </c>
      <c r="H355" s="170" t="s">
        <v>591</v>
      </c>
      <c r="I355" s="179">
        <v>1</v>
      </c>
      <c r="J355" s="170" t="s">
        <v>1191</v>
      </c>
      <c r="K355" s="170" t="s">
        <v>2204</v>
      </c>
      <c r="L355" s="525">
        <v>2023</v>
      </c>
      <c r="M355" s="170" t="s">
        <v>11</v>
      </c>
      <c r="N355" s="170" t="s">
        <v>2203</v>
      </c>
      <c r="O355" s="181"/>
      <c r="P355" s="170" t="s">
        <v>2191</v>
      </c>
      <c r="Q355" s="176"/>
      <c r="R355" s="184"/>
      <c r="S355" s="170"/>
      <c r="T355" s="170"/>
      <c r="U355" s="170"/>
      <c r="V355" s="170"/>
      <c r="W355" s="170"/>
      <c r="X355" s="170"/>
      <c r="Y355" s="170"/>
      <c r="Z355" s="170"/>
      <c r="AA355" s="170"/>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row>
    <row r="356" spans="1:47" ht="15.75" customHeight="1">
      <c r="A356" s="170" t="s">
        <v>22</v>
      </c>
      <c r="B356" s="171" t="s">
        <v>587</v>
      </c>
      <c r="C356" s="170" t="s">
        <v>984</v>
      </c>
      <c r="D356" s="170" t="s">
        <v>1005</v>
      </c>
      <c r="E356" s="178" t="s">
        <v>1006</v>
      </c>
      <c r="F356" s="170" t="s">
        <v>1821</v>
      </c>
      <c r="G356" s="170" t="s">
        <v>62</v>
      </c>
      <c r="H356" s="170" t="s">
        <v>591</v>
      </c>
      <c r="I356" s="179">
        <v>1</v>
      </c>
      <c r="J356" s="170" t="s">
        <v>1191</v>
      </c>
      <c r="K356" s="170" t="s">
        <v>2204</v>
      </c>
      <c r="L356" s="525">
        <v>2023</v>
      </c>
      <c r="M356" s="170" t="s">
        <v>11</v>
      </c>
      <c r="N356" s="170" t="s">
        <v>2203</v>
      </c>
      <c r="O356" s="181"/>
      <c r="P356" s="170" t="s">
        <v>2191</v>
      </c>
      <c r="Q356" s="176"/>
      <c r="R356" s="184"/>
      <c r="S356" s="170"/>
      <c r="T356" s="170"/>
      <c r="U356" s="170"/>
      <c r="V356" s="170"/>
      <c r="W356" s="170"/>
      <c r="X356" s="170"/>
      <c r="Y356" s="170"/>
      <c r="Z356" s="170"/>
      <c r="AA356" s="170"/>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row>
    <row r="357" spans="1:47" ht="15.75" customHeight="1">
      <c r="A357" s="170" t="s">
        <v>22</v>
      </c>
      <c r="B357" s="171" t="s">
        <v>587</v>
      </c>
      <c r="C357" s="170" t="s">
        <v>984</v>
      </c>
      <c r="D357" s="170" t="s">
        <v>1007</v>
      </c>
      <c r="E357" s="178" t="s">
        <v>1008</v>
      </c>
      <c r="F357" s="170" t="s">
        <v>1821</v>
      </c>
      <c r="G357" s="170" t="s">
        <v>62</v>
      </c>
      <c r="H357" s="170" t="s">
        <v>591</v>
      </c>
      <c r="I357" s="179">
        <v>1</v>
      </c>
      <c r="J357" s="170" t="s">
        <v>1191</v>
      </c>
      <c r="K357" s="170" t="s">
        <v>2204</v>
      </c>
      <c r="L357" s="525">
        <v>2023</v>
      </c>
      <c r="M357" s="170" t="s">
        <v>11</v>
      </c>
      <c r="N357" s="170" t="s">
        <v>2203</v>
      </c>
      <c r="O357" s="181"/>
      <c r="P357" s="170" t="s">
        <v>2191</v>
      </c>
      <c r="Q357" s="176"/>
      <c r="R357" s="184"/>
      <c r="S357" s="170"/>
      <c r="T357" s="170"/>
      <c r="U357" s="170"/>
      <c r="V357" s="170"/>
      <c r="W357" s="170"/>
      <c r="X357" s="170"/>
      <c r="Y357" s="170"/>
      <c r="Z357" s="170"/>
      <c r="AA357" s="170"/>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row>
    <row r="358" spans="1:47" ht="15.75" customHeight="1">
      <c r="A358" s="170" t="s">
        <v>22</v>
      </c>
      <c r="B358" s="171" t="s">
        <v>587</v>
      </c>
      <c r="C358" s="170" t="s">
        <v>984</v>
      </c>
      <c r="D358" s="170" t="s">
        <v>1009</v>
      </c>
      <c r="E358" s="178" t="s">
        <v>1010</v>
      </c>
      <c r="F358" s="170" t="s">
        <v>1821</v>
      </c>
      <c r="G358" s="170" t="s">
        <v>62</v>
      </c>
      <c r="H358" s="170" t="s">
        <v>591</v>
      </c>
      <c r="I358" s="179">
        <v>1</v>
      </c>
      <c r="J358" s="170" t="s">
        <v>1191</v>
      </c>
      <c r="K358" s="170" t="s">
        <v>2204</v>
      </c>
      <c r="L358" s="525">
        <v>2023</v>
      </c>
      <c r="M358" s="170" t="s">
        <v>11</v>
      </c>
      <c r="N358" s="170" t="s">
        <v>2203</v>
      </c>
      <c r="O358" s="181"/>
      <c r="P358" s="170" t="s">
        <v>2191</v>
      </c>
      <c r="Q358" s="176"/>
      <c r="R358" s="184"/>
      <c r="S358" s="170"/>
      <c r="T358" s="170"/>
      <c r="U358" s="170"/>
      <c r="V358" s="170"/>
      <c r="W358" s="170"/>
      <c r="X358" s="170"/>
      <c r="Y358" s="170"/>
      <c r="Z358" s="170"/>
      <c r="AA358" s="170"/>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row>
    <row r="359" spans="1:47" ht="15.75" customHeight="1">
      <c r="A359" s="170" t="s">
        <v>22</v>
      </c>
      <c r="B359" s="171" t="s">
        <v>587</v>
      </c>
      <c r="C359" s="170" t="s">
        <v>984</v>
      </c>
      <c r="D359" s="170" t="s">
        <v>1011</v>
      </c>
      <c r="E359" s="178" t="s">
        <v>1012</v>
      </c>
      <c r="F359" s="170" t="s">
        <v>1821</v>
      </c>
      <c r="G359" s="170" t="s">
        <v>62</v>
      </c>
      <c r="H359" s="170" t="s">
        <v>591</v>
      </c>
      <c r="I359" s="179">
        <v>1</v>
      </c>
      <c r="J359" s="170" t="s">
        <v>1191</v>
      </c>
      <c r="K359" s="170" t="s">
        <v>2204</v>
      </c>
      <c r="L359" s="525">
        <v>2023</v>
      </c>
      <c r="M359" s="170" t="s">
        <v>11</v>
      </c>
      <c r="N359" s="170" t="s">
        <v>2203</v>
      </c>
      <c r="O359" s="181"/>
      <c r="P359" s="170" t="s">
        <v>2191</v>
      </c>
      <c r="Q359" s="176"/>
      <c r="R359" s="184"/>
      <c r="S359" s="170"/>
      <c r="T359" s="170"/>
      <c r="U359" s="170"/>
      <c r="V359" s="170"/>
      <c r="W359" s="170"/>
      <c r="X359" s="170"/>
      <c r="Y359" s="170"/>
      <c r="Z359" s="170"/>
      <c r="AA359" s="170"/>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row>
    <row r="360" spans="1:47" ht="15.75" customHeight="1">
      <c r="A360" s="170" t="s">
        <v>22</v>
      </c>
      <c r="B360" s="171" t="s">
        <v>587</v>
      </c>
      <c r="C360" s="170" t="s">
        <v>984</v>
      </c>
      <c r="D360" s="170" t="s">
        <v>1013</v>
      </c>
      <c r="E360" s="178" t="s">
        <v>1014</v>
      </c>
      <c r="F360" s="170" t="s">
        <v>1821</v>
      </c>
      <c r="G360" s="170" t="s">
        <v>62</v>
      </c>
      <c r="H360" s="170" t="s">
        <v>591</v>
      </c>
      <c r="I360" s="179">
        <v>1</v>
      </c>
      <c r="J360" s="170" t="s">
        <v>1191</v>
      </c>
      <c r="K360" s="170" t="s">
        <v>2204</v>
      </c>
      <c r="L360" s="525">
        <v>2023</v>
      </c>
      <c r="M360" s="170" t="s">
        <v>11</v>
      </c>
      <c r="N360" s="170" t="s">
        <v>2203</v>
      </c>
      <c r="O360" s="181"/>
      <c r="P360" s="170" t="s">
        <v>2191</v>
      </c>
      <c r="Q360" s="176"/>
      <c r="R360" s="184"/>
      <c r="S360" s="170"/>
      <c r="T360" s="170"/>
      <c r="U360" s="170"/>
      <c r="V360" s="170"/>
      <c r="W360" s="170"/>
      <c r="X360" s="170"/>
      <c r="Y360" s="170"/>
      <c r="Z360" s="170"/>
      <c r="AA360" s="170"/>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row>
    <row r="361" spans="1:47" ht="15.75" customHeight="1">
      <c r="A361" s="170" t="s">
        <v>22</v>
      </c>
      <c r="B361" s="171" t="s">
        <v>587</v>
      </c>
      <c r="C361" s="170" t="s">
        <v>984</v>
      </c>
      <c r="D361" s="170" t="s">
        <v>1015</v>
      </c>
      <c r="E361" s="178" t="s">
        <v>1016</v>
      </c>
      <c r="F361" s="170" t="s">
        <v>1821</v>
      </c>
      <c r="G361" s="170" t="s">
        <v>62</v>
      </c>
      <c r="H361" s="170" t="s">
        <v>591</v>
      </c>
      <c r="I361" s="179">
        <v>1</v>
      </c>
      <c r="J361" s="170" t="s">
        <v>1191</v>
      </c>
      <c r="K361" s="170" t="s">
        <v>2204</v>
      </c>
      <c r="L361" s="525">
        <v>2023</v>
      </c>
      <c r="M361" s="170" t="s">
        <v>11</v>
      </c>
      <c r="N361" s="170" t="s">
        <v>2203</v>
      </c>
      <c r="O361" s="181"/>
      <c r="P361" s="170" t="s">
        <v>2191</v>
      </c>
      <c r="Q361" s="176"/>
      <c r="R361" s="184"/>
      <c r="S361" s="170"/>
      <c r="T361" s="170"/>
      <c r="U361" s="170"/>
      <c r="V361" s="170"/>
      <c r="W361" s="170"/>
      <c r="X361" s="170"/>
      <c r="Y361" s="170"/>
      <c r="Z361" s="170"/>
      <c r="AA361" s="170"/>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row>
    <row r="362" spans="1:47" ht="15.75" customHeight="1">
      <c r="A362" s="170" t="s">
        <v>22</v>
      </c>
      <c r="B362" s="171" t="s">
        <v>587</v>
      </c>
      <c r="C362" s="170" t="s">
        <v>984</v>
      </c>
      <c r="D362" s="170" t="s">
        <v>1017</v>
      </c>
      <c r="E362" s="178" t="s">
        <v>1018</v>
      </c>
      <c r="F362" s="170" t="s">
        <v>1821</v>
      </c>
      <c r="G362" s="170" t="s">
        <v>62</v>
      </c>
      <c r="H362" s="170" t="s">
        <v>591</v>
      </c>
      <c r="I362" s="179">
        <v>1</v>
      </c>
      <c r="J362" s="170" t="s">
        <v>1191</v>
      </c>
      <c r="K362" s="170" t="s">
        <v>2204</v>
      </c>
      <c r="L362" s="525">
        <v>2023</v>
      </c>
      <c r="M362" s="170" t="s">
        <v>11</v>
      </c>
      <c r="N362" s="170" t="s">
        <v>2203</v>
      </c>
      <c r="O362" s="181"/>
      <c r="P362" s="170" t="s">
        <v>2191</v>
      </c>
      <c r="Q362" s="176"/>
      <c r="R362" s="184"/>
      <c r="S362" s="170"/>
      <c r="T362" s="170"/>
      <c r="U362" s="170"/>
      <c r="V362" s="170"/>
      <c r="W362" s="170"/>
      <c r="X362" s="170"/>
      <c r="Y362" s="170"/>
      <c r="Z362" s="170"/>
      <c r="AA362" s="170"/>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row>
    <row r="363" spans="1:47" ht="15.75" customHeight="1">
      <c r="A363" s="170" t="s">
        <v>22</v>
      </c>
      <c r="B363" s="171" t="s">
        <v>587</v>
      </c>
      <c r="C363" s="170" t="s">
        <v>984</v>
      </c>
      <c r="D363" s="170" t="s">
        <v>1019</v>
      </c>
      <c r="E363" s="178" t="s">
        <v>1020</v>
      </c>
      <c r="F363" s="170" t="s">
        <v>1821</v>
      </c>
      <c r="G363" s="170" t="s">
        <v>62</v>
      </c>
      <c r="H363" s="170" t="s">
        <v>591</v>
      </c>
      <c r="I363" s="179">
        <v>1</v>
      </c>
      <c r="J363" s="170" t="s">
        <v>1191</v>
      </c>
      <c r="K363" s="170" t="s">
        <v>2204</v>
      </c>
      <c r="L363" s="525">
        <v>2023</v>
      </c>
      <c r="M363" s="170" t="s">
        <v>11</v>
      </c>
      <c r="N363" s="170" t="s">
        <v>2203</v>
      </c>
      <c r="O363" s="181"/>
      <c r="P363" s="170" t="s">
        <v>2191</v>
      </c>
      <c r="Q363" s="176"/>
      <c r="R363" s="184"/>
      <c r="S363" s="170"/>
      <c r="T363" s="170"/>
      <c r="U363" s="170"/>
      <c r="V363" s="170"/>
      <c r="W363" s="170"/>
      <c r="X363" s="170"/>
      <c r="Y363" s="170"/>
      <c r="Z363" s="170"/>
      <c r="AA363" s="170"/>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row>
    <row r="364" spans="1:47" ht="15.75" customHeight="1">
      <c r="A364" s="170" t="s">
        <v>22</v>
      </c>
      <c r="B364" s="171" t="s">
        <v>587</v>
      </c>
      <c r="C364" s="170" t="s">
        <v>984</v>
      </c>
      <c r="D364" s="170" t="s">
        <v>1021</v>
      </c>
      <c r="E364" s="178" t="s">
        <v>1022</v>
      </c>
      <c r="F364" s="170" t="s">
        <v>1821</v>
      </c>
      <c r="G364" s="170" t="s">
        <v>62</v>
      </c>
      <c r="H364" s="170" t="s">
        <v>591</v>
      </c>
      <c r="I364" s="179">
        <v>1</v>
      </c>
      <c r="J364" s="170" t="s">
        <v>1191</v>
      </c>
      <c r="K364" s="170" t="s">
        <v>2204</v>
      </c>
      <c r="L364" s="525">
        <v>2023</v>
      </c>
      <c r="M364" s="170" t="s">
        <v>11</v>
      </c>
      <c r="N364" s="170" t="s">
        <v>2203</v>
      </c>
      <c r="O364" s="181"/>
      <c r="P364" s="170" t="s">
        <v>2191</v>
      </c>
      <c r="Q364" s="176"/>
      <c r="R364" s="184"/>
      <c r="S364" s="170"/>
      <c r="T364" s="170"/>
      <c r="U364" s="170"/>
      <c r="V364" s="170"/>
      <c r="W364" s="170"/>
      <c r="X364" s="170"/>
      <c r="Y364" s="170"/>
      <c r="Z364" s="170"/>
      <c r="AA364" s="170"/>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row>
    <row r="365" spans="1:47" ht="15.75" customHeight="1">
      <c r="A365" s="170" t="s">
        <v>22</v>
      </c>
      <c r="B365" s="171" t="s">
        <v>587</v>
      </c>
      <c r="C365" s="170" t="s">
        <v>984</v>
      </c>
      <c r="D365" s="170" t="s">
        <v>1023</v>
      </c>
      <c r="E365" s="178" t="s">
        <v>1024</v>
      </c>
      <c r="F365" s="170" t="s">
        <v>1821</v>
      </c>
      <c r="G365" s="170" t="s">
        <v>62</v>
      </c>
      <c r="H365" s="170" t="s">
        <v>591</v>
      </c>
      <c r="I365" s="179">
        <v>1</v>
      </c>
      <c r="J365" s="170" t="s">
        <v>1191</v>
      </c>
      <c r="K365" s="170" t="s">
        <v>2204</v>
      </c>
      <c r="L365" s="525">
        <v>2023</v>
      </c>
      <c r="M365" s="170" t="s">
        <v>11</v>
      </c>
      <c r="N365" s="170" t="s">
        <v>2203</v>
      </c>
      <c r="O365" s="181"/>
      <c r="P365" s="170" t="s">
        <v>2191</v>
      </c>
      <c r="Q365" s="176"/>
      <c r="R365" s="184"/>
      <c r="S365" s="170"/>
      <c r="T365" s="170"/>
      <c r="U365" s="170"/>
      <c r="V365" s="170"/>
      <c r="W365" s="170"/>
      <c r="X365" s="170"/>
      <c r="Y365" s="170"/>
      <c r="Z365" s="170"/>
      <c r="AA365" s="170"/>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row>
    <row r="366" spans="1:47" ht="15.75" customHeight="1">
      <c r="A366" s="170" t="s">
        <v>22</v>
      </c>
      <c r="B366" s="171" t="s">
        <v>587</v>
      </c>
      <c r="C366" s="170" t="s">
        <v>984</v>
      </c>
      <c r="D366" s="170" t="s">
        <v>1025</v>
      </c>
      <c r="E366" s="178" t="s">
        <v>1026</v>
      </c>
      <c r="F366" s="170" t="s">
        <v>1821</v>
      </c>
      <c r="G366" s="170" t="s">
        <v>62</v>
      </c>
      <c r="H366" s="170" t="s">
        <v>591</v>
      </c>
      <c r="I366" s="179">
        <v>1</v>
      </c>
      <c r="J366" s="170" t="s">
        <v>1191</v>
      </c>
      <c r="K366" s="170" t="s">
        <v>2204</v>
      </c>
      <c r="L366" s="525">
        <v>2023</v>
      </c>
      <c r="M366" s="170" t="s">
        <v>11</v>
      </c>
      <c r="N366" s="170" t="s">
        <v>2203</v>
      </c>
      <c r="O366" s="181"/>
      <c r="P366" s="170" t="s">
        <v>2191</v>
      </c>
      <c r="Q366" s="176"/>
      <c r="R366" s="184"/>
      <c r="S366" s="170"/>
      <c r="T366" s="170"/>
      <c r="U366" s="170"/>
      <c r="V366" s="170"/>
      <c r="W366" s="170"/>
      <c r="X366" s="170"/>
      <c r="Y366" s="170"/>
      <c r="Z366" s="170"/>
      <c r="AA366" s="170"/>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row>
    <row r="367" spans="1:47" ht="15.75" customHeight="1">
      <c r="A367" s="170" t="s">
        <v>22</v>
      </c>
      <c r="B367" s="171" t="s">
        <v>587</v>
      </c>
      <c r="C367" s="170" t="s">
        <v>984</v>
      </c>
      <c r="D367" s="170" t="s">
        <v>1027</v>
      </c>
      <c r="E367" s="178" t="s">
        <v>1028</v>
      </c>
      <c r="F367" s="170" t="s">
        <v>1821</v>
      </c>
      <c r="G367" s="170" t="s">
        <v>62</v>
      </c>
      <c r="H367" s="170" t="s">
        <v>591</v>
      </c>
      <c r="I367" s="179">
        <v>1</v>
      </c>
      <c r="J367" s="170" t="s">
        <v>1191</v>
      </c>
      <c r="K367" s="170" t="s">
        <v>2204</v>
      </c>
      <c r="L367" s="525">
        <v>2023</v>
      </c>
      <c r="M367" s="170" t="s">
        <v>11</v>
      </c>
      <c r="N367" s="170" t="s">
        <v>2203</v>
      </c>
      <c r="O367" s="181"/>
      <c r="P367" s="170" t="s">
        <v>2191</v>
      </c>
      <c r="Q367" s="176"/>
      <c r="R367" s="184"/>
      <c r="S367" s="170"/>
      <c r="T367" s="170"/>
      <c r="U367" s="170"/>
      <c r="V367" s="170"/>
      <c r="W367" s="170"/>
      <c r="X367" s="170"/>
      <c r="Y367" s="170"/>
      <c r="Z367" s="170"/>
      <c r="AA367" s="170"/>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row>
    <row r="368" spans="1:47" ht="15.75" customHeight="1">
      <c r="A368" s="170" t="s">
        <v>22</v>
      </c>
      <c r="B368" s="171" t="s">
        <v>587</v>
      </c>
      <c r="C368" s="170" t="s">
        <v>984</v>
      </c>
      <c r="D368" s="170" t="s">
        <v>1029</v>
      </c>
      <c r="E368" s="178" t="s">
        <v>1030</v>
      </c>
      <c r="F368" s="170" t="s">
        <v>1821</v>
      </c>
      <c r="G368" s="170" t="s">
        <v>62</v>
      </c>
      <c r="H368" s="170" t="s">
        <v>591</v>
      </c>
      <c r="I368" s="179">
        <v>1</v>
      </c>
      <c r="J368" s="170" t="s">
        <v>1191</v>
      </c>
      <c r="K368" s="170" t="s">
        <v>2204</v>
      </c>
      <c r="L368" s="525">
        <v>2023</v>
      </c>
      <c r="M368" s="170" t="s">
        <v>11</v>
      </c>
      <c r="N368" s="170" t="s">
        <v>2203</v>
      </c>
      <c r="O368" s="181"/>
      <c r="P368" s="170" t="s">
        <v>2191</v>
      </c>
      <c r="Q368" s="176"/>
      <c r="R368" s="184"/>
      <c r="S368" s="170"/>
      <c r="T368" s="170"/>
      <c r="U368" s="170"/>
      <c r="V368" s="170"/>
      <c r="W368" s="170"/>
      <c r="X368" s="170"/>
      <c r="Y368" s="170"/>
      <c r="Z368" s="170"/>
      <c r="AA368" s="170"/>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row>
    <row r="369" spans="1:47" ht="15.75" customHeight="1">
      <c r="A369" s="170" t="s">
        <v>22</v>
      </c>
      <c r="B369" s="171" t="s">
        <v>587</v>
      </c>
      <c r="C369" s="170" t="s">
        <v>984</v>
      </c>
      <c r="D369" s="170" t="s">
        <v>1031</v>
      </c>
      <c r="E369" s="178" t="s">
        <v>1032</v>
      </c>
      <c r="F369" s="170" t="s">
        <v>1821</v>
      </c>
      <c r="G369" s="170" t="s">
        <v>62</v>
      </c>
      <c r="H369" s="170" t="s">
        <v>591</v>
      </c>
      <c r="I369" s="179">
        <v>1</v>
      </c>
      <c r="J369" s="170" t="s">
        <v>1191</v>
      </c>
      <c r="K369" s="170" t="s">
        <v>2204</v>
      </c>
      <c r="L369" s="525">
        <v>2023</v>
      </c>
      <c r="M369" s="170" t="s">
        <v>11</v>
      </c>
      <c r="N369" s="170" t="s">
        <v>2203</v>
      </c>
      <c r="O369" s="181"/>
      <c r="P369" s="170" t="s">
        <v>2191</v>
      </c>
      <c r="Q369" s="176"/>
      <c r="R369" s="184"/>
      <c r="S369" s="170"/>
      <c r="T369" s="170"/>
      <c r="U369" s="170"/>
      <c r="V369" s="170"/>
      <c r="W369" s="170"/>
      <c r="X369" s="170"/>
      <c r="Y369" s="170"/>
      <c r="Z369" s="170"/>
      <c r="AA369" s="170"/>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row>
    <row r="370" spans="1:47" ht="15.75" customHeight="1">
      <c r="A370" s="170" t="s">
        <v>22</v>
      </c>
      <c r="B370" s="171" t="s">
        <v>587</v>
      </c>
      <c r="C370" s="170" t="s">
        <v>984</v>
      </c>
      <c r="D370" s="170" t="s">
        <v>1033</v>
      </c>
      <c r="E370" s="178" t="s">
        <v>1034</v>
      </c>
      <c r="F370" s="170" t="s">
        <v>1821</v>
      </c>
      <c r="G370" s="170" t="s">
        <v>62</v>
      </c>
      <c r="H370" s="170" t="s">
        <v>591</v>
      </c>
      <c r="I370" s="179">
        <v>1</v>
      </c>
      <c r="J370" s="170" t="s">
        <v>1191</v>
      </c>
      <c r="K370" s="170" t="s">
        <v>2204</v>
      </c>
      <c r="L370" s="525">
        <v>2023</v>
      </c>
      <c r="M370" s="170" t="s">
        <v>11</v>
      </c>
      <c r="N370" s="170" t="s">
        <v>2203</v>
      </c>
      <c r="O370" s="181"/>
      <c r="P370" s="170" t="s">
        <v>2191</v>
      </c>
      <c r="Q370" s="176"/>
      <c r="R370" s="184"/>
      <c r="S370" s="170"/>
      <c r="T370" s="170"/>
      <c r="U370" s="170"/>
      <c r="V370" s="170"/>
      <c r="W370" s="170"/>
      <c r="X370" s="170"/>
      <c r="Y370" s="170"/>
      <c r="Z370" s="170"/>
      <c r="AA370" s="170"/>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row>
    <row r="371" spans="1:47" ht="15.75" customHeight="1">
      <c r="A371" s="170" t="s">
        <v>22</v>
      </c>
      <c r="B371" s="171" t="s">
        <v>587</v>
      </c>
      <c r="C371" s="170" t="s">
        <v>984</v>
      </c>
      <c r="D371" s="170" t="s">
        <v>1035</v>
      </c>
      <c r="E371" s="178" t="s">
        <v>1036</v>
      </c>
      <c r="F371" s="170" t="s">
        <v>1821</v>
      </c>
      <c r="G371" s="170" t="s">
        <v>62</v>
      </c>
      <c r="H371" s="170" t="s">
        <v>591</v>
      </c>
      <c r="I371" s="179">
        <v>1</v>
      </c>
      <c r="J371" s="170" t="s">
        <v>1191</v>
      </c>
      <c r="K371" s="170" t="s">
        <v>2204</v>
      </c>
      <c r="L371" s="525">
        <v>2023</v>
      </c>
      <c r="M371" s="170" t="s">
        <v>11</v>
      </c>
      <c r="N371" s="170" t="s">
        <v>2203</v>
      </c>
      <c r="O371" s="181"/>
      <c r="P371" s="170" t="s">
        <v>2191</v>
      </c>
      <c r="Q371" s="176"/>
      <c r="R371" s="184"/>
      <c r="S371" s="170"/>
      <c r="T371" s="170"/>
      <c r="U371" s="170"/>
      <c r="V371" s="170"/>
      <c r="W371" s="170"/>
      <c r="X371" s="170"/>
      <c r="Y371" s="170"/>
      <c r="Z371" s="170"/>
      <c r="AA371" s="170"/>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row>
    <row r="372" spans="1:47" ht="15.75" customHeight="1">
      <c r="A372" s="170" t="s">
        <v>22</v>
      </c>
      <c r="B372" s="171" t="s">
        <v>587</v>
      </c>
      <c r="C372" s="170" t="s">
        <v>984</v>
      </c>
      <c r="D372" s="170" t="s">
        <v>1037</v>
      </c>
      <c r="E372" s="178" t="s">
        <v>1038</v>
      </c>
      <c r="F372" s="170" t="s">
        <v>1821</v>
      </c>
      <c r="G372" s="170" t="s">
        <v>62</v>
      </c>
      <c r="H372" s="170" t="s">
        <v>591</v>
      </c>
      <c r="I372" s="179">
        <v>1</v>
      </c>
      <c r="J372" s="170" t="s">
        <v>1191</v>
      </c>
      <c r="K372" s="170" t="s">
        <v>2204</v>
      </c>
      <c r="L372" s="525">
        <v>2023</v>
      </c>
      <c r="M372" s="170" t="s">
        <v>11</v>
      </c>
      <c r="N372" s="170" t="s">
        <v>2203</v>
      </c>
      <c r="O372" s="181"/>
      <c r="P372" s="170" t="s">
        <v>2191</v>
      </c>
      <c r="Q372" s="176"/>
      <c r="R372" s="184"/>
      <c r="S372" s="170"/>
      <c r="T372" s="170"/>
      <c r="U372" s="170"/>
      <c r="V372" s="170"/>
      <c r="W372" s="170"/>
      <c r="X372" s="170"/>
      <c r="Y372" s="170"/>
      <c r="Z372" s="170"/>
      <c r="AA372" s="170"/>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row>
    <row r="373" spans="1:47" ht="15.75" customHeight="1">
      <c r="A373" s="170" t="s">
        <v>22</v>
      </c>
      <c r="B373" s="171" t="s">
        <v>587</v>
      </c>
      <c r="C373" s="170" t="s">
        <v>984</v>
      </c>
      <c r="D373" s="170" t="s">
        <v>1039</v>
      </c>
      <c r="E373" s="178" t="s">
        <v>1040</v>
      </c>
      <c r="F373" s="170" t="s">
        <v>1821</v>
      </c>
      <c r="G373" s="170" t="s">
        <v>62</v>
      </c>
      <c r="H373" s="170" t="s">
        <v>591</v>
      </c>
      <c r="I373" s="179">
        <v>1</v>
      </c>
      <c r="J373" s="170" t="s">
        <v>1191</v>
      </c>
      <c r="K373" s="170" t="s">
        <v>2204</v>
      </c>
      <c r="L373" s="525">
        <v>2023</v>
      </c>
      <c r="M373" s="170" t="s">
        <v>11</v>
      </c>
      <c r="N373" s="170" t="s">
        <v>2203</v>
      </c>
      <c r="O373" s="181"/>
      <c r="P373" s="170" t="s">
        <v>2191</v>
      </c>
      <c r="Q373" s="176"/>
      <c r="R373" s="184"/>
      <c r="S373" s="170"/>
      <c r="T373" s="170"/>
      <c r="U373" s="170"/>
      <c r="V373" s="170"/>
      <c r="W373" s="170"/>
      <c r="X373" s="170"/>
      <c r="Y373" s="170"/>
      <c r="Z373" s="170"/>
      <c r="AA373" s="170"/>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row>
    <row r="374" spans="1:47" ht="15.75" customHeight="1">
      <c r="A374" s="170" t="s">
        <v>22</v>
      </c>
      <c r="B374" s="171" t="s">
        <v>587</v>
      </c>
      <c r="C374" s="170" t="s">
        <v>984</v>
      </c>
      <c r="D374" s="170" t="s">
        <v>1041</v>
      </c>
      <c r="E374" s="178" t="s">
        <v>1042</v>
      </c>
      <c r="F374" s="170" t="s">
        <v>1821</v>
      </c>
      <c r="G374" s="170" t="s">
        <v>62</v>
      </c>
      <c r="H374" s="170" t="s">
        <v>591</v>
      </c>
      <c r="I374" s="179">
        <v>1</v>
      </c>
      <c r="J374" s="170" t="s">
        <v>1191</v>
      </c>
      <c r="K374" s="170" t="s">
        <v>2204</v>
      </c>
      <c r="L374" s="525">
        <v>2023</v>
      </c>
      <c r="M374" s="170" t="s">
        <v>11</v>
      </c>
      <c r="N374" s="170" t="s">
        <v>2203</v>
      </c>
      <c r="O374" s="181"/>
      <c r="P374" s="170" t="s">
        <v>2205</v>
      </c>
      <c r="Q374" s="176"/>
      <c r="R374" s="184"/>
      <c r="S374" s="170"/>
      <c r="T374" s="170"/>
      <c r="U374" s="170"/>
      <c r="V374" s="170"/>
      <c r="W374" s="170"/>
      <c r="X374" s="170"/>
      <c r="Y374" s="170"/>
      <c r="Z374" s="170"/>
      <c r="AA374" s="170"/>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row>
    <row r="375" spans="1:47" ht="15.75" customHeight="1">
      <c r="A375" s="170" t="s">
        <v>22</v>
      </c>
      <c r="B375" s="171" t="s">
        <v>587</v>
      </c>
      <c r="C375" s="170" t="s">
        <v>984</v>
      </c>
      <c r="D375" s="170" t="s">
        <v>1043</v>
      </c>
      <c r="E375" s="178" t="s">
        <v>1044</v>
      </c>
      <c r="F375" s="170" t="s">
        <v>1821</v>
      </c>
      <c r="G375" s="170" t="s">
        <v>62</v>
      </c>
      <c r="H375" s="170" t="s">
        <v>591</v>
      </c>
      <c r="I375" s="179">
        <v>1</v>
      </c>
      <c r="J375" s="170" t="s">
        <v>1191</v>
      </c>
      <c r="K375" s="170" t="s">
        <v>2204</v>
      </c>
      <c r="L375" s="525">
        <v>2023</v>
      </c>
      <c r="M375" s="170" t="s">
        <v>11</v>
      </c>
      <c r="N375" s="170" t="s">
        <v>2206</v>
      </c>
      <c r="O375" s="181"/>
      <c r="P375" s="170" t="s">
        <v>2205</v>
      </c>
      <c r="Q375" s="176"/>
      <c r="R375" s="184"/>
      <c r="S375" s="170"/>
      <c r="T375" s="170"/>
      <c r="U375" s="170"/>
      <c r="V375" s="170"/>
      <c r="W375" s="170"/>
      <c r="X375" s="170"/>
      <c r="Y375" s="170"/>
      <c r="Z375" s="170"/>
      <c r="AA375" s="170"/>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row>
    <row r="376" spans="1:47" ht="15.75" customHeight="1">
      <c r="A376" s="170" t="s">
        <v>22</v>
      </c>
      <c r="B376" s="171" t="s">
        <v>587</v>
      </c>
      <c r="C376" s="170" t="s">
        <v>1045</v>
      </c>
      <c r="D376" s="170" t="s">
        <v>1046</v>
      </c>
      <c r="E376" s="170" t="s">
        <v>1047</v>
      </c>
      <c r="F376" s="172"/>
      <c r="G376" s="172" t="s">
        <v>62</v>
      </c>
      <c r="H376" s="172"/>
      <c r="I376" s="172"/>
      <c r="J376" s="172"/>
      <c r="K376" s="172"/>
      <c r="L376" s="524"/>
      <c r="M376" s="172"/>
      <c r="N376" s="172"/>
      <c r="O376" s="175"/>
      <c r="P376" s="172"/>
      <c r="Q376" s="176"/>
      <c r="R376" s="177"/>
      <c r="S376" s="172"/>
      <c r="T376" s="172"/>
      <c r="U376" s="172"/>
      <c r="V376" s="172"/>
      <c r="W376" s="172"/>
      <c r="X376" s="172"/>
      <c r="Y376" s="172"/>
      <c r="Z376" s="172"/>
      <c r="AA376" s="170"/>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row>
    <row r="377" spans="1:47" ht="15.75" customHeight="1">
      <c r="A377" s="170" t="s">
        <v>22</v>
      </c>
      <c r="B377" s="171" t="s">
        <v>587</v>
      </c>
      <c r="C377" s="170" t="s">
        <v>1045</v>
      </c>
      <c r="D377" s="170" t="s">
        <v>1048</v>
      </c>
      <c r="E377" s="178" t="s">
        <v>1049</v>
      </c>
      <c r="F377" s="170" t="s">
        <v>1929</v>
      </c>
      <c r="G377" s="170" t="s">
        <v>62</v>
      </c>
      <c r="H377" s="170" t="s">
        <v>735</v>
      </c>
      <c r="I377" s="179">
        <v>1</v>
      </c>
      <c r="J377" s="170" t="s">
        <v>1090</v>
      </c>
      <c r="K377" s="170" t="s">
        <v>2207</v>
      </c>
      <c r="L377" s="525"/>
      <c r="M377" s="170"/>
      <c r="N377" s="170"/>
      <c r="O377" s="181"/>
      <c r="P377" s="261" t="s">
        <v>2208</v>
      </c>
      <c r="Q377" s="176"/>
      <c r="R377" s="184"/>
      <c r="S377" s="170"/>
      <c r="T377" s="170"/>
      <c r="U377" s="170"/>
      <c r="V377" s="170"/>
      <c r="W377" s="170"/>
      <c r="X377" s="170"/>
      <c r="Y377" s="170"/>
      <c r="Z377" s="170"/>
      <c r="AA377" s="170"/>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row>
    <row r="378" spans="1:47" ht="15.75" customHeight="1">
      <c r="A378" s="170" t="s">
        <v>22</v>
      </c>
      <c r="B378" s="171" t="s">
        <v>587</v>
      </c>
      <c r="C378" s="170" t="s">
        <v>1045</v>
      </c>
      <c r="D378" s="170" t="s">
        <v>1050</v>
      </c>
      <c r="E378" s="178" t="s">
        <v>1051</v>
      </c>
      <c r="F378" s="170" t="s">
        <v>1816</v>
      </c>
      <c r="G378" s="170" t="s">
        <v>62</v>
      </c>
      <c r="H378" s="170" t="s">
        <v>428</v>
      </c>
      <c r="I378" s="179">
        <v>0.5</v>
      </c>
      <c r="J378" s="170" t="s">
        <v>8</v>
      </c>
      <c r="K378" s="236" t="s">
        <v>2209</v>
      </c>
      <c r="L378" s="525">
        <v>2023</v>
      </c>
      <c r="M378" s="170" t="s">
        <v>10</v>
      </c>
      <c r="N378" s="170" t="s">
        <v>2210</v>
      </c>
      <c r="O378" s="181"/>
      <c r="P378" s="170" t="s">
        <v>2211</v>
      </c>
      <c r="Q378" s="176"/>
      <c r="R378" s="184"/>
      <c r="S378" s="170"/>
      <c r="T378" s="170"/>
      <c r="U378" s="170"/>
      <c r="V378" s="170"/>
      <c r="W378" s="170"/>
      <c r="X378" s="170"/>
      <c r="Y378" s="170"/>
      <c r="Z378" s="170"/>
      <c r="AA378" s="170"/>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row>
    <row r="379" spans="1:47" ht="99" customHeight="1">
      <c r="A379" s="170" t="s">
        <v>22</v>
      </c>
      <c r="B379" s="171" t="s">
        <v>587</v>
      </c>
      <c r="C379" s="170" t="s">
        <v>1052</v>
      </c>
      <c r="D379" s="170" t="s">
        <v>1053</v>
      </c>
      <c r="E379" s="170" t="s">
        <v>1054</v>
      </c>
      <c r="F379" s="170" t="s">
        <v>1816</v>
      </c>
      <c r="G379" s="170" t="s">
        <v>58</v>
      </c>
      <c r="H379" s="170" t="s">
        <v>623</v>
      </c>
      <c r="I379" s="179">
        <v>0.5</v>
      </c>
      <c r="J379" s="170" t="s">
        <v>1191</v>
      </c>
      <c r="K379" s="170" t="s">
        <v>2212</v>
      </c>
      <c r="L379" s="525">
        <v>2023</v>
      </c>
      <c r="M379" s="170" t="s">
        <v>10</v>
      </c>
      <c r="N379" s="170" t="s">
        <v>2210</v>
      </c>
      <c r="O379" s="181"/>
      <c r="P379" s="170"/>
      <c r="Q379" s="176"/>
      <c r="R379" s="184"/>
      <c r="S379" s="170"/>
      <c r="T379" s="170"/>
      <c r="U379" s="170"/>
      <c r="V379" s="170"/>
      <c r="W379" s="170"/>
      <c r="X379" s="170"/>
      <c r="Y379" s="170"/>
      <c r="Z379" s="170"/>
      <c r="AA379" s="170"/>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row>
    <row r="380" spans="1:47" ht="60" customHeight="1">
      <c r="A380" s="170" t="s">
        <v>22</v>
      </c>
      <c r="B380" s="171" t="s">
        <v>587</v>
      </c>
      <c r="C380" s="170" t="s">
        <v>1052</v>
      </c>
      <c r="D380" s="170" t="s">
        <v>1055</v>
      </c>
      <c r="E380" s="170" t="s">
        <v>1056</v>
      </c>
      <c r="F380" s="170" t="s">
        <v>1929</v>
      </c>
      <c r="G380" s="170" t="s">
        <v>62</v>
      </c>
      <c r="H380" s="170" t="s">
        <v>1057</v>
      </c>
      <c r="I380" s="170" t="s">
        <v>221</v>
      </c>
      <c r="J380" s="170" t="s">
        <v>8</v>
      </c>
      <c r="K380" s="170" t="s">
        <v>2213</v>
      </c>
      <c r="L380" s="525">
        <v>2023</v>
      </c>
      <c r="M380" s="170" t="s">
        <v>10</v>
      </c>
      <c r="N380" s="170" t="s">
        <v>2210</v>
      </c>
      <c r="O380" s="181"/>
      <c r="P380" s="170"/>
      <c r="Q380" s="176"/>
      <c r="R380" s="184"/>
      <c r="S380" s="170"/>
      <c r="T380" s="170"/>
      <c r="U380" s="170"/>
      <c r="V380" s="170"/>
      <c r="W380" s="170"/>
      <c r="X380" s="170"/>
      <c r="Y380" s="170"/>
      <c r="Z380" s="170"/>
      <c r="AA380" s="170"/>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row>
    <row r="381" spans="1:47" ht="63" customHeight="1">
      <c r="A381" s="170" t="s">
        <v>22</v>
      </c>
      <c r="B381" s="171" t="s">
        <v>587</v>
      </c>
      <c r="C381" s="170" t="s">
        <v>1058</v>
      </c>
      <c r="D381" s="170" t="s">
        <v>1059</v>
      </c>
      <c r="E381" s="170" t="s">
        <v>1060</v>
      </c>
      <c r="F381" s="170" t="s">
        <v>1821</v>
      </c>
      <c r="G381" s="170" t="s">
        <v>62</v>
      </c>
      <c r="H381" s="170" t="s">
        <v>1061</v>
      </c>
      <c r="I381" s="179">
        <v>0.5</v>
      </c>
      <c r="J381" s="170" t="s">
        <v>8</v>
      </c>
      <c r="K381" s="170"/>
      <c r="L381" s="525">
        <v>2023</v>
      </c>
      <c r="M381" s="170" t="s">
        <v>10</v>
      </c>
      <c r="N381" s="170" t="s">
        <v>2210</v>
      </c>
      <c r="O381" s="181"/>
      <c r="P381" s="170"/>
      <c r="Q381" s="176"/>
      <c r="R381" s="184"/>
      <c r="S381" s="170"/>
      <c r="T381" s="170"/>
      <c r="U381" s="170"/>
      <c r="V381" s="170"/>
      <c r="W381" s="170"/>
      <c r="X381" s="170"/>
      <c r="Y381" s="170"/>
      <c r="Z381" s="170"/>
      <c r="AA381" s="170"/>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row>
    <row r="382" spans="1:47" ht="15.75" hidden="1" customHeight="1">
      <c r="A382" s="262" t="s">
        <v>1062</v>
      </c>
      <c r="B382" s="263"/>
      <c r="C382" s="264"/>
      <c r="D382" s="264"/>
      <c r="E382" s="264"/>
      <c r="F382" s="264"/>
      <c r="G382" s="264"/>
      <c r="H382" s="264"/>
      <c r="I382" s="265"/>
      <c r="J382" s="264"/>
      <c r="K382" s="264"/>
      <c r="L382" s="536"/>
      <c r="M382" s="264"/>
      <c r="N382" s="264"/>
      <c r="O382" s="264"/>
      <c r="P382" s="266"/>
      <c r="Q382" s="267"/>
      <c r="R382" s="268"/>
      <c r="S382" s="264"/>
      <c r="T382" s="264"/>
      <c r="U382" s="264"/>
      <c r="V382" s="264"/>
      <c r="W382" s="264"/>
      <c r="X382" s="264"/>
      <c r="Y382" s="264"/>
      <c r="Z382" s="264"/>
      <c r="AA382" s="264"/>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row>
    <row r="383" spans="1:47" ht="15.75" customHeight="1">
      <c r="A383" s="170" t="s">
        <v>24</v>
      </c>
      <c r="B383" s="171" t="s">
        <v>54</v>
      </c>
      <c r="C383" s="170" t="s">
        <v>1063</v>
      </c>
      <c r="D383" s="170" t="s">
        <v>1064</v>
      </c>
      <c r="E383" s="170" t="s">
        <v>1065</v>
      </c>
      <c r="F383" s="170" t="s">
        <v>1929</v>
      </c>
      <c r="G383" s="170" t="s">
        <v>62</v>
      </c>
      <c r="H383" s="170" t="s">
        <v>1066</v>
      </c>
      <c r="I383" s="170" t="s">
        <v>1067</v>
      </c>
      <c r="J383" s="170" t="s">
        <v>1090</v>
      </c>
      <c r="K383" s="180" t="s">
        <v>2214</v>
      </c>
      <c r="L383" s="537"/>
      <c r="M383" s="170"/>
      <c r="N383" s="170"/>
      <c r="O383" s="181"/>
      <c r="P383" s="170" t="s">
        <v>2215</v>
      </c>
      <c r="Q383" s="176"/>
      <c r="R383" s="184"/>
      <c r="S383" s="170"/>
      <c r="T383" s="170"/>
      <c r="U383" s="170"/>
      <c r="V383" s="170"/>
      <c r="W383" s="170"/>
      <c r="X383" s="170"/>
      <c r="Y383" s="170"/>
      <c r="Z383" s="170"/>
      <c r="AA383" s="170"/>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row>
    <row r="384" spans="1:47" ht="15.75" customHeight="1">
      <c r="A384" s="170" t="s">
        <v>24</v>
      </c>
      <c r="B384" s="171" t="s">
        <v>54</v>
      </c>
      <c r="C384" s="170" t="s">
        <v>1068</v>
      </c>
      <c r="D384" s="170" t="s">
        <v>1069</v>
      </c>
      <c r="E384" s="170" t="s">
        <v>1070</v>
      </c>
      <c r="F384" s="170" t="s">
        <v>1929</v>
      </c>
      <c r="G384" s="170" t="s">
        <v>62</v>
      </c>
      <c r="H384" s="170" t="s">
        <v>1071</v>
      </c>
      <c r="I384" s="170" t="s">
        <v>1072</v>
      </c>
      <c r="J384" s="170" t="s">
        <v>1090</v>
      </c>
      <c r="K384" s="236" t="s">
        <v>2216</v>
      </c>
      <c r="L384" s="538"/>
      <c r="M384" s="170"/>
      <c r="N384" s="170"/>
      <c r="O384" s="170" t="s">
        <v>2217</v>
      </c>
      <c r="P384" s="170"/>
      <c r="Q384" s="176"/>
      <c r="R384" s="184"/>
      <c r="S384" s="170"/>
      <c r="T384" s="170"/>
      <c r="U384" s="170"/>
      <c r="V384" s="170"/>
      <c r="W384" s="170"/>
      <c r="X384" s="170"/>
      <c r="Y384" s="170"/>
      <c r="Z384" s="170"/>
      <c r="AA384" s="170"/>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row>
    <row r="385" spans="1:47" ht="192" customHeight="1">
      <c r="A385" s="170" t="s">
        <v>24</v>
      </c>
      <c r="B385" s="171" t="s">
        <v>54</v>
      </c>
      <c r="C385" s="170" t="s">
        <v>1068</v>
      </c>
      <c r="D385" s="170" t="s">
        <v>1073</v>
      </c>
      <c r="E385" s="170" t="s">
        <v>1074</v>
      </c>
      <c r="F385" s="170" t="s">
        <v>1929</v>
      </c>
      <c r="G385" s="170" t="s">
        <v>62</v>
      </c>
      <c r="H385" s="170" t="s">
        <v>182</v>
      </c>
      <c r="I385" s="179">
        <v>1</v>
      </c>
      <c r="J385" s="170" t="s">
        <v>1090</v>
      </c>
      <c r="K385" s="170" t="s">
        <v>2216</v>
      </c>
      <c r="L385" s="525"/>
      <c r="M385" s="170"/>
      <c r="N385" s="170"/>
      <c r="O385" s="181"/>
      <c r="P385" s="188" t="s">
        <v>2218</v>
      </c>
      <c r="Q385" s="176"/>
      <c r="R385" s="184"/>
      <c r="S385" s="170"/>
      <c r="T385" s="170"/>
      <c r="U385" s="170"/>
      <c r="V385" s="170"/>
      <c r="W385" s="170"/>
      <c r="X385" s="170"/>
      <c r="Y385" s="170"/>
      <c r="Z385" s="170"/>
      <c r="AA385" s="170"/>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row>
    <row r="386" spans="1:47" ht="15.75" hidden="1" customHeight="1">
      <c r="A386" s="172" t="s">
        <v>24</v>
      </c>
      <c r="B386" s="227" t="s">
        <v>54</v>
      </c>
      <c r="C386" s="172" t="s">
        <v>1075</v>
      </c>
      <c r="D386" s="172" t="s">
        <v>582</v>
      </c>
      <c r="E386" s="172" t="s">
        <v>582</v>
      </c>
      <c r="F386" s="172" t="s">
        <v>582</v>
      </c>
      <c r="G386" s="172" t="s">
        <v>582</v>
      </c>
      <c r="H386" s="172" t="s">
        <v>582</v>
      </c>
      <c r="I386" s="172" t="s">
        <v>582</v>
      </c>
      <c r="J386" s="172" t="s">
        <v>582</v>
      </c>
      <c r="K386" s="172" t="s">
        <v>582</v>
      </c>
      <c r="L386" s="172" t="s">
        <v>582</v>
      </c>
      <c r="M386" s="172" t="s">
        <v>582</v>
      </c>
      <c r="N386" s="172" t="s">
        <v>582</v>
      </c>
      <c r="O386" s="172" t="s">
        <v>582</v>
      </c>
      <c r="P386" s="172" t="s">
        <v>582</v>
      </c>
      <c r="Q386" s="228"/>
      <c r="R386" s="177" t="s">
        <v>582</v>
      </c>
      <c r="S386" s="172" t="s">
        <v>582</v>
      </c>
      <c r="T386" s="172" t="s">
        <v>582</v>
      </c>
      <c r="U386" s="172"/>
      <c r="V386" s="172" t="s">
        <v>582</v>
      </c>
      <c r="W386" s="172" t="s">
        <v>582</v>
      </c>
      <c r="X386" s="172" t="s">
        <v>582</v>
      </c>
      <c r="Y386" s="172" t="s">
        <v>582</v>
      </c>
      <c r="Z386" s="172" t="s">
        <v>582</v>
      </c>
      <c r="AA386" s="172" t="s">
        <v>582</v>
      </c>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row>
    <row r="387" spans="1:47" ht="15.75" customHeight="1">
      <c r="A387" s="170" t="s">
        <v>24</v>
      </c>
      <c r="B387" s="171" t="s">
        <v>195</v>
      </c>
      <c r="C387" s="170" t="s">
        <v>1076</v>
      </c>
      <c r="D387" s="170" t="s">
        <v>1077</v>
      </c>
      <c r="E387" s="170" t="s">
        <v>1078</v>
      </c>
      <c r="F387" s="172"/>
      <c r="G387" s="172" t="s">
        <v>62</v>
      </c>
      <c r="H387" s="172"/>
      <c r="I387" s="173"/>
      <c r="J387" s="172"/>
      <c r="K387" s="172"/>
      <c r="L387" s="524"/>
      <c r="M387" s="172"/>
      <c r="N387" s="172"/>
      <c r="O387" s="175"/>
      <c r="P387" s="269"/>
      <c r="Q387" s="176"/>
      <c r="R387" s="177"/>
      <c r="S387" s="172"/>
      <c r="T387" s="172"/>
      <c r="U387" s="172"/>
      <c r="V387" s="172"/>
      <c r="W387" s="172"/>
      <c r="X387" s="172"/>
      <c r="Y387" s="172"/>
      <c r="Z387" s="172"/>
      <c r="AA387" s="17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row>
    <row r="388" spans="1:47" ht="62.25" customHeight="1">
      <c r="A388" s="170" t="s">
        <v>24</v>
      </c>
      <c r="B388" s="171" t="s">
        <v>195</v>
      </c>
      <c r="C388" s="170" t="s">
        <v>1076</v>
      </c>
      <c r="D388" s="170" t="s">
        <v>1079</v>
      </c>
      <c r="E388" s="178" t="s">
        <v>1080</v>
      </c>
      <c r="F388" s="170" t="s">
        <v>1929</v>
      </c>
      <c r="G388" s="170" t="s">
        <v>62</v>
      </c>
      <c r="H388" s="170" t="s">
        <v>1081</v>
      </c>
      <c r="I388" s="179">
        <v>1</v>
      </c>
      <c r="J388" s="170" t="s">
        <v>8</v>
      </c>
      <c r="K388" s="170" t="s">
        <v>2219</v>
      </c>
      <c r="L388" s="525">
        <v>2023</v>
      </c>
      <c r="M388" s="170" t="s">
        <v>9</v>
      </c>
      <c r="N388" s="170" t="s">
        <v>2220</v>
      </c>
      <c r="O388" s="181"/>
      <c r="P388" s="170"/>
      <c r="Q388" s="176"/>
      <c r="R388" s="184"/>
      <c r="S388" s="170"/>
      <c r="T388" s="170"/>
      <c r="U388" s="170"/>
      <c r="V388" s="170"/>
      <c r="W388" s="170"/>
      <c r="X388" s="170"/>
      <c r="Y388" s="170"/>
      <c r="Z388" s="170"/>
      <c r="AA388" s="170"/>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row>
    <row r="389" spans="1:47" ht="15.75" customHeight="1">
      <c r="A389" s="170" t="s">
        <v>24</v>
      </c>
      <c r="B389" s="171" t="s">
        <v>195</v>
      </c>
      <c r="C389" s="170" t="s">
        <v>1076</v>
      </c>
      <c r="D389" s="170" t="s">
        <v>1082</v>
      </c>
      <c r="E389" s="178" t="s">
        <v>1083</v>
      </c>
      <c r="F389" s="170" t="s">
        <v>1929</v>
      </c>
      <c r="G389" s="170" t="s">
        <v>62</v>
      </c>
      <c r="H389" s="170" t="s">
        <v>1084</v>
      </c>
      <c r="I389" s="179">
        <v>1</v>
      </c>
      <c r="J389" s="170" t="s">
        <v>8</v>
      </c>
      <c r="K389" s="170" t="s">
        <v>2221</v>
      </c>
      <c r="L389" s="525">
        <v>2023</v>
      </c>
      <c r="M389" s="170" t="s">
        <v>9</v>
      </c>
      <c r="N389" s="170" t="s">
        <v>2220</v>
      </c>
      <c r="O389" s="181"/>
      <c r="P389" s="170"/>
      <c r="Q389" s="176"/>
      <c r="R389" s="184"/>
      <c r="S389" s="170"/>
      <c r="T389" s="170"/>
      <c r="U389" s="170"/>
      <c r="V389" s="170"/>
      <c r="W389" s="170"/>
      <c r="X389" s="170"/>
      <c r="Y389" s="170"/>
      <c r="Z389" s="170"/>
      <c r="AA389" s="170"/>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row>
    <row r="390" spans="1:47" ht="15.75" customHeight="1">
      <c r="A390" s="170" t="s">
        <v>24</v>
      </c>
      <c r="B390" s="171" t="s">
        <v>195</v>
      </c>
      <c r="C390" s="170" t="s">
        <v>1076</v>
      </c>
      <c r="D390" s="170" t="s">
        <v>1085</v>
      </c>
      <c r="E390" s="170" t="s">
        <v>1086</v>
      </c>
      <c r="F390" s="172"/>
      <c r="G390" s="172" t="s">
        <v>62</v>
      </c>
      <c r="H390" s="172"/>
      <c r="I390" s="172"/>
      <c r="J390" s="172"/>
      <c r="K390" s="172"/>
      <c r="L390" s="524"/>
      <c r="M390" s="172"/>
      <c r="N390" s="172"/>
      <c r="O390" s="175"/>
      <c r="P390" s="172"/>
      <c r="Q390" s="176"/>
      <c r="R390" s="177"/>
      <c r="S390" s="172"/>
      <c r="T390" s="172"/>
      <c r="U390" s="172"/>
      <c r="V390" s="172"/>
      <c r="W390" s="172"/>
      <c r="X390" s="172"/>
      <c r="Y390" s="172"/>
      <c r="Z390" s="172"/>
      <c r="AA390" s="170"/>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row>
    <row r="391" spans="1:47" ht="77.25" customHeight="1">
      <c r="A391" s="170" t="s">
        <v>24</v>
      </c>
      <c r="B391" s="171" t="s">
        <v>195</v>
      </c>
      <c r="C391" s="170" t="s">
        <v>1076</v>
      </c>
      <c r="D391" s="170" t="s">
        <v>1087</v>
      </c>
      <c r="E391" s="170" t="s">
        <v>1088</v>
      </c>
      <c r="F391" s="170" t="s">
        <v>1929</v>
      </c>
      <c r="G391" s="170" t="s">
        <v>62</v>
      </c>
      <c r="H391" s="170" t="s">
        <v>1089</v>
      </c>
      <c r="I391" s="170"/>
      <c r="J391" s="170" t="s">
        <v>8</v>
      </c>
      <c r="K391" s="170" t="s">
        <v>2222</v>
      </c>
      <c r="L391" s="525">
        <v>2023</v>
      </c>
      <c r="M391" s="170" t="s">
        <v>10</v>
      </c>
      <c r="N391" s="170" t="s">
        <v>1834</v>
      </c>
      <c r="O391" s="181"/>
      <c r="P391" s="170"/>
      <c r="Q391" s="176"/>
      <c r="R391" s="184"/>
      <c r="S391" s="170"/>
      <c r="T391" s="170"/>
      <c r="U391" s="170"/>
      <c r="V391" s="170"/>
      <c r="W391" s="170"/>
      <c r="X391" s="170"/>
      <c r="Y391" s="170"/>
      <c r="Z391" s="170"/>
      <c r="AA391" s="170"/>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row>
    <row r="392" spans="1:47" ht="15.75" customHeight="1">
      <c r="A392" s="170" t="s">
        <v>24</v>
      </c>
      <c r="B392" s="171" t="s">
        <v>195</v>
      </c>
      <c r="C392" s="170" t="s">
        <v>1076</v>
      </c>
      <c r="D392" s="170" t="s">
        <v>1091</v>
      </c>
      <c r="E392" s="178" t="s">
        <v>1092</v>
      </c>
      <c r="F392" s="170" t="s">
        <v>1929</v>
      </c>
      <c r="G392" s="170" t="s">
        <v>62</v>
      </c>
      <c r="H392" s="170" t="s">
        <v>1089</v>
      </c>
      <c r="I392" s="170"/>
      <c r="J392" s="170" t="s">
        <v>8</v>
      </c>
      <c r="K392" s="162" t="s">
        <v>2223</v>
      </c>
      <c r="L392" s="525">
        <v>2023</v>
      </c>
      <c r="M392" s="170" t="s">
        <v>10</v>
      </c>
      <c r="N392" s="190" t="s">
        <v>2224</v>
      </c>
      <c r="O392" s="181"/>
      <c r="P392" s="188" t="s">
        <v>2225</v>
      </c>
      <c r="Q392" s="176"/>
      <c r="R392" s="184"/>
      <c r="S392" s="170"/>
      <c r="T392" s="170"/>
      <c r="U392" s="170"/>
      <c r="V392" s="170"/>
      <c r="W392" s="170"/>
      <c r="X392" s="170"/>
      <c r="Y392" s="170"/>
      <c r="Z392" s="170"/>
      <c r="AA392" s="170"/>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row>
    <row r="393" spans="1:47" ht="15.75" customHeight="1">
      <c r="A393" s="170" t="s">
        <v>24</v>
      </c>
      <c r="B393" s="171" t="s">
        <v>195</v>
      </c>
      <c r="C393" s="170" t="s">
        <v>1076</v>
      </c>
      <c r="D393" s="170" t="s">
        <v>1093</v>
      </c>
      <c r="E393" s="178" t="s">
        <v>1094</v>
      </c>
      <c r="F393" s="170" t="s">
        <v>1816</v>
      </c>
      <c r="G393" s="170" t="s">
        <v>62</v>
      </c>
      <c r="H393" s="170" t="s">
        <v>1095</v>
      </c>
      <c r="I393" s="170" t="s">
        <v>1096</v>
      </c>
      <c r="J393" s="170" t="s">
        <v>8</v>
      </c>
      <c r="K393" s="170" t="s">
        <v>2226</v>
      </c>
      <c r="L393" s="525">
        <v>2023</v>
      </c>
      <c r="M393" s="170" t="s">
        <v>10</v>
      </c>
      <c r="N393" s="170" t="s">
        <v>2227</v>
      </c>
      <c r="P393" s="170"/>
      <c r="Q393" s="176"/>
      <c r="R393" s="184"/>
      <c r="S393" s="170"/>
      <c r="T393" s="170"/>
      <c r="U393" s="170"/>
      <c r="V393" s="170"/>
      <c r="W393" s="170"/>
      <c r="X393" s="170"/>
      <c r="Y393" s="170"/>
      <c r="Z393" s="170"/>
      <c r="AA393" s="170"/>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row>
    <row r="394" spans="1:47" ht="15.75" customHeight="1">
      <c r="A394" s="170" t="s">
        <v>24</v>
      </c>
      <c r="B394" s="171" t="s">
        <v>195</v>
      </c>
      <c r="C394" s="170" t="s">
        <v>1076</v>
      </c>
      <c r="D394" s="170" t="s">
        <v>1097</v>
      </c>
      <c r="E394" s="178" t="s">
        <v>1098</v>
      </c>
      <c r="F394" s="170" t="s">
        <v>1824</v>
      </c>
      <c r="G394" s="170" t="s">
        <v>62</v>
      </c>
      <c r="H394" s="170" t="s">
        <v>1099</v>
      </c>
      <c r="I394" s="179">
        <v>1</v>
      </c>
      <c r="J394" s="170" t="s">
        <v>1191</v>
      </c>
      <c r="K394" s="170" t="s">
        <v>2228</v>
      </c>
      <c r="L394" s="525">
        <v>2023</v>
      </c>
      <c r="M394" s="170" t="s">
        <v>9</v>
      </c>
      <c r="N394" s="170" t="s">
        <v>2229</v>
      </c>
      <c r="O394" s="181"/>
      <c r="P394" s="170"/>
      <c r="Q394" s="176"/>
      <c r="R394" s="184"/>
      <c r="S394" s="170"/>
      <c r="T394" s="170"/>
      <c r="U394" s="170"/>
      <c r="V394" s="170"/>
      <c r="W394" s="170"/>
      <c r="X394" s="170"/>
      <c r="Y394" s="170"/>
      <c r="Z394" s="170"/>
      <c r="AA394" s="170"/>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row>
    <row r="395" spans="1:47" ht="15.75" customHeight="1">
      <c r="A395" s="170" t="s">
        <v>24</v>
      </c>
      <c r="B395" s="171" t="s">
        <v>195</v>
      </c>
      <c r="C395" s="170" t="s">
        <v>1076</v>
      </c>
      <c r="D395" s="170" t="s">
        <v>1100</v>
      </c>
      <c r="E395" s="170" t="s">
        <v>1101</v>
      </c>
      <c r="F395" s="170" t="s">
        <v>1929</v>
      </c>
      <c r="G395" s="170" t="s">
        <v>58</v>
      </c>
      <c r="H395" s="170" t="s">
        <v>1102</v>
      </c>
      <c r="I395" s="179">
        <v>0.7</v>
      </c>
      <c r="J395" s="170" t="s">
        <v>1191</v>
      </c>
      <c r="K395" s="170" t="s">
        <v>2117</v>
      </c>
      <c r="L395" s="525">
        <v>2023</v>
      </c>
      <c r="M395" s="170" t="s">
        <v>10</v>
      </c>
      <c r="N395" s="170" t="s">
        <v>2210</v>
      </c>
      <c r="O395" s="181"/>
      <c r="P395" s="170" t="s">
        <v>2230</v>
      </c>
      <c r="Q395" s="176"/>
      <c r="R395" s="184"/>
      <c r="S395" s="170"/>
      <c r="T395" s="170"/>
      <c r="U395" s="170"/>
      <c r="V395" s="170"/>
      <c r="W395" s="170"/>
      <c r="X395" s="170"/>
      <c r="Y395" s="170"/>
      <c r="Z395" s="170"/>
      <c r="AA395" s="170"/>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row>
    <row r="396" spans="1:47" ht="84" customHeight="1">
      <c r="A396" s="170" t="s">
        <v>24</v>
      </c>
      <c r="B396" s="171" t="s">
        <v>195</v>
      </c>
      <c r="C396" s="170" t="s">
        <v>1103</v>
      </c>
      <c r="D396" s="170" t="s">
        <v>1104</v>
      </c>
      <c r="E396" s="170" t="s">
        <v>1105</v>
      </c>
      <c r="F396" s="170" t="s">
        <v>1821</v>
      </c>
      <c r="G396" s="170" t="s">
        <v>62</v>
      </c>
      <c r="H396" s="170" t="s">
        <v>1106</v>
      </c>
      <c r="I396" s="179">
        <v>1</v>
      </c>
      <c r="J396" s="170" t="s">
        <v>1191</v>
      </c>
      <c r="K396" s="170" t="s">
        <v>2231</v>
      </c>
      <c r="L396" s="525">
        <v>2023</v>
      </c>
      <c r="M396" s="170" t="s">
        <v>10</v>
      </c>
      <c r="N396" s="170" t="s">
        <v>1834</v>
      </c>
      <c r="O396" s="181"/>
      <c r="P396" s="170" t="s">
        <v>2232</v>
      </c>
      <c r="Q396" s="176"/>
      <c r="R396" s="184"/>
      <c r="S396" s="170"/>
      <c r="T396" s="170"/>
      <c r="U396" s="170"/>
      <c r="V396" s="170"/>
      <c r="W396" s="170"/>
      <c r="X396" s="170"/>
      <c r="Y396" s="170"/>
      <c r="Z396" s="170"/>
      <c r="AA396" s="170"/>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row>
    <row r="397" spans="1:47" ht="75.75" customHeight="1">
      <c r="A397" s="170" t="s">
        <v>24</v>
      </c>
      <c r="B397" s="171" t="s">
        <v>195</v>
      </c>
      <c r="C397" s="170" t="s">
        <v>1107</v>
      </c>
      <c r="D397" s="170" t="s">
        <v>1108</v>
      </c>
      <c r="E397" s="170" t="s">
        <v>1109</v>
      </c>
      <c r="F397" s="170" t="s">
        <v>1821</v>
      </c>
      <c r="G397" s="170" t="s">
        <v>62</v>
      </c>
      <c r="H397" s="170" t="s">
        <v>1110</v>
      </c>
      <c r="I397" s="179">
        <v>1</v>
      </c>
      <c r="J397" s="170" t="s">
        <v>1191</v>
      </c>
      <c r="K397" s="170" t="s">
        <v>2231</v>
      </c>
      <c r="L397" s="525">
        <v>2023</v>
      </c>
      <c r="M397" s="170" t="s">
        <v>10</v>
      </c>
      <c r="N397" s="170" t="s">
        <v>1834</v>
      </c>
      <c r="O397" s="181"/>
      <c r="P397" s="170"/>
      <c r="Q397" s="176"/>
      <c r="R397" s="184"/>
      <c r="S397" s="170"/>
      <c r="T397" s="170"/>
      <c r="U397" s="170"/>
      <c r="V397" s="170"/>
      <c r="W397" s="170"/>
      <c r="X397" s="170"/>
      <c r="Y397" s="170"/>
      <c r="Z397" s="170"/>
      <c r="AA397" s="170"/>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row>
    <row r="398" spans="1:47" ht="60.75" customHeight="1">
      <c r="A398" s="170" t="s">
        <v>24</v>
      </c>
      <c r="B398" s="171" t="s">
        <v>195</v>
      </c>
      <c r="C398" s="170" t="s">
        <v>1111</v>
      </c>
      <c r="D398" s="170" t="s">
        <v>1112</v>
      </c>
      <c r="E398" s="170" t="s">
        <v>1113</v>
      </c>
      <c r="F398" s="170" t="s">
        <v>1929</v>
      </c>
      <c r="G398" s="170" t="s">
        <v>62</v>
      </c>
      <c r="H398" s="170" t="s">
        <v>1114</v>
      </c>
      <c r="I398" s="179">
        <v>1</v>
      </c>
      <c r="J398" s="170" t="s">
        <v>1090</v>
      </c>
      <c r="K398" s="170" t="s">
        <v>2233</v>
      </c>
      <c r="L398" s="525"/>
      <c r="M398" s="170"/>
      <c r="N398" s="170"/>
      <c r="O398" s="181"/>
      <c r="P398" s="170"/>
      <c r="Q398" s="176"/>
      <c r="R398" s="184"/>
      <c r="S398" s="170"/>
      <c r="T398" s="170"/>
      <c r="U398" s="170"/>
      <c r="V398" s="170"/>
      <c r="W398" s="170"/>
      <c r="X398" s="170"/>
      <c r="Y398" s="170"/>
      <c r="Z398" s="170"/>
      <c r="AA398" s="170"/>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row>
    <row r="399" spans="1:47" ht="195.75" customHeight="1">
      <c r="A399" s="170" t="s">
        <v>24</v>
      </c>
      <c r="B399" s="171" t="s">
        <v>195</v>
      </c>
      <c r="C399" s="170" t="s">
        <v>1111</v>
      </c>
      <c r="D399" s="170" t="s">
        <v>1115</v>
      </c>
      <c r="E399" s="170" t="s">
        <v>2234</v>
      </c>
      <c r="F399" s="170" t="s">
        <v>1821</v>
      </c>
      <c r="G399" s="170" t="s">
        <v>62</v>
      </c>
      <c r="H399" s="170" t="s">
        <v>1117</v>
      </c>
      <c r="I399" s="170" t="s">
        <v>671</v>
      </c>
      <c r="J399" s="170" t="s">
        <v>1191</v>
      </c>
      <c r="K399" s="170" t="s">
        <v>2235</v>
      </c>
      <c r="L399" s="525">
        <v>2024</v>
      </c>
      <c r="M399" s="170" t="s">
        <v>10</v>
      </c>
      <c r="N399" s="170" t="s">
        <v>2236</v>
      </c>
      <c r="O399" s="181"/>
      <c r="P399" s="170"/>
      <c r="Q399" s="176"/>
      <c r="R399" s="184"/>
      <c r="S399" s="170"/>
      <c r="T399" s="170"/>
      <c r="U399" s="170"/>
      <c r="V399" s="170"/>
      <c r="W399" s="170"/>
      <c r="X399" s="170"/>
      <c r="Y399" s="170"/>
      <c r="Z399" s="170"/>
      <c r="AA399" s="170"/>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row>
    <row r="400" spans="1:47" ht="15.75" hidden="1" customHeight="1">
      <c r="A400" s="172" t="s">
        <v>24</v>
      </c>
      <c r="B400" s="227" t="s">
        <v>274</v>
      </c>
      <c r="C400" s="172" t="s">
        <v>1118</v>
      </c>
      <c r="D400" s="172" t="s">
        <v>582</v>
      </c>
      <c r="E400" s="172" t="s">
        <v>582</v>
      </c>
      <c r="F400" s="172" t="s">
        <v>582</v>
      </c>
      <c r="G400" s="172" t="s">
        <v>582</v>
      </c>
      <c r="H400" s="172" t="s">
        <v>582</v>
      </c>
      <c r="I400" s="172" t="s">
        <v>582</v>
      </c>
      <c r="J400" s="172" t="s">
        <v>582</v>
      </c>
      <c r="K400" s="172" t="s">
        <v>582</v>
      </c>
      <c r="L400" s="172" t="s">
        <v>582</v>
      </c>
      <c r="M400" s="172" t="s">
        <v>582</v>
      </c>
      <c r="N400" s="172" t="s">
        <v>582</v>
      </c>
      <c r="O400" s="172" t="s">
        <v>582</v>
      </c>
      <c r="P400" s="172" t="s">
        <v>582</v>
      </c>
      <c r="Q400" s="228"/>
      <c r="R400" s="177" t="s">
        <v>582</v>
      </c>
      <c r="S400" s="172" t="s">
        <v>582</v>
      </c>
      <c r="T400" s="172" t="s">
        <v>582</v>
      </c>
      <c r="U400" s="172"/>
      <c r="V400" s="172" t="s">
        <v>582</v>
      </c>
      <c r="W400" s="172" t="s">
        <v>582</v>
      </c>
      <c r="X400" s="172" t="s">
        <v>582</v>
      </c>
      <c r="Y400" s="172" t="s">
        <v>582</v>
      </c>
      <c r="Z400" s="172" t="s">
        <v>582</v>
      </c>
      <c r="AA400" s="172" t="s">
        <v>582</v>
      </c>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row>
    <row r="401" spans="1:47" ht="63" hidden="1" customHeight="1">
      <c r="A401" s="172" t="s">
        <v>24</v>
      </c>
      <c r="B401" s="227" t="s">
        <v>274</v>
      </c>
      <c r="C401" s="172" t="s">
        <v>1119</v>
      </c>
      <c r="D401" s="172" t="s">
        <v>582</v>
      </c>
      <c r="E401" s="172" t="s">
        <v>582</v>
      </c>
      <c r="F401" s="172" t="s">
        <v>582</v>
      </c>
      <c r="G401" s="172" t="s">
        <v>582</v>
      </c>
      <c r="H401" s="172" t="s">
        <v>582</v>
      </c>
      <c r="I401" s="172" t="s">
        <v>582</v>
      </c>
      <c r="J401" s="172" t="s">
        <v>582</v>
      </c>
      <c r="K401" s="172" t="s">
        <v>582</v>
      </c>
      <c r="L401" s="172" t="s">
        <v>582</v>
      </c>
      <c r="M401" s="172" t="s">
        <v>582</v>
      </c>
      <c r="N401" s="172" t="s">
        <v>582</v>
      </c>
      <c r="O401" s="172" t="s">
        <v>582</v>
      </c>
      <c r="P401" s="172" t="s">
        <v>582</v>
      </c>
      <c r="Q401" s="228"/>
      <c r="R401" s="177" t="s">
        <v>582</v>
      </c>
      <c r="S401" s="172" t="s">
        <v>582</v>
      </c>
      <c r="T401" s="172" t="s">
        <v>582</v>
      </c>
      <c r="U401" s="172"/>
      <c r="V401" s="172" t="s">
        <v>582</v>
      </c>
      <c r="W401" s="172" t="s">
        <v>582</v>
      </c>
      <c r="X401" s="172" t="s">
        <v>582</v>
      </c>
      <c r="Y401" s="172" t="s">
        <v>582</v>
      </c>
      <c r="Z401" s="172" t="s">
        <v>582</v>
      </c>
      <c r="AA401" s="172" t="s">
        <v>582</v>
      </c>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row>
    <row r="402" spans="1:47" ht="15.75" hidden="1" customHeight="1">
      <c r="A402" s="172" t="s">
        <v>24</v>
      </c>
      <c r="B402" s="227" t="s">
        <v>274</v>
      </c>
      <c r="C402" s="172" t="s">
        <v>1120</v>
      </c>
      <c r="D402" s="172" t="s">
        <v>582</v>
      </c>
      <c r="E402" s="172" t="s">
        <v>582</v>
      </c>
      <c r="F402" s="172" t="s">
        <v>582</v>
      </c>
      <c r="G402" s="172" t="s">
        <v>582</v>
      </c>
      <c r="H402" s="172" t="s">
        <v>582</v>
      </c>
      <c r="I402" s="172" t="s">
        <v>582</v>
      </c>
      <c r="J402" s="172" t="s">
        <v>582</v>
      </c>
      <c r="K402" s="172" t="s">
        <v>582</v>
      </c>
      <c r="L402" s="172" t="s">
        <v>582</v>
      </c>
      <c r="M402" s="172" t="s">
        <v>582</v>
      </c>
      <c r="N402" s="172" t="s">
        <v>582</v>
      </c>
      <c r="O402" s="172" t="s">
        <v>582</v>
      </c>
      <c r="P402" s="172" t="s">
        <v>582</v>
      </c>
      <c r="Q402" s="228"/>
      <c r="R402" s="177" t="s">
        <v>582</v>
      </c>
      <c r="S402" s="172" t="s">
        <v>582</v>
      </c>
      <c r="T402" s="172" t="s">
        <v>582</v>
      </c>
      <c r="U402" s="172"/>
      <c r="V402" s="172" t="s">
        <v>582</v>
      </c>
      <c r="W402" s="172" t="s">
        <v>582</v>
      </c>
      <c r="X402" s="172" t="s">
        <v>582</v>
      </c>
      <c r="Y402" s="172" t="s">
        <v>582</v>
      </c>
      <c r="Z402" s="172" t="s">
        <v>582</v>
      </c>
      <c r="AA402" s="172" t="s">
        <v>582</v>
      </c>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row>
    <row r="403" spans="1:47" ht="58.5" customHeight="1">
      <c r="A403" s="170" t="s">
        <v>24</v>
      </c>
      <c r="B403" s="171" t="s">
        <v>274</v>
      </c>
      <c r="C403" s="170" t="s">
        <v>1121</v>
      </c>
      <c r="D403" s="170" t="s">
        <v>1122</v>
      </c>
      <c r="E403" s="170" t="s">
        <v>1123</v>
      </c>
      <c r="F403" s="170" t="s">
        <v>1816</v>
      </c>
      <c r="G403" s="170" t="s">
        <v>62</v>
      </c>
      <c r="H403" s="170" t="s">
        <v>1124</v>
      </c>
      <c r="I403" s="179">
        <v>1</v>
      </c>
      <c r="J403" s="170" t="s">
        <v>1191</v>
      </c>
      <c r="K403" s="170" t="s">
        <v>2237</v>
      </c>
      <c r="L403" s="525">
        <v>2024</v>
      </c>
      <c r="M403" s="170"/>
      <c r="N403" s="170"/>
      <c r="O403" s="181"/>
      <c r="P403" s="270" t="s">
        <v>2238</v>
      </c>
      <c r="Q403" s="176"/>
      <c r="R403" s="184"/>
      <c r="S403" s="170"/>
      <c r="T403" s="170"/>
      <c r="U403" s="170"/>
      <c r="V403" s="170"/>
      <c r="W403" s="170"/>
      <c r="X403" s="170"/>
      <c r="Y403" s="170"/>
      <c r="Z403" s="170"/>
      <c r="AA403" s="170"/>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row>
    <row r="404" spans="1:47" ht="61.5" customHeight="1">
      <c r="A404" s="170" t="s">
        <v>24</v>
      </c>
      <c r="B404" s="171" t="s">
        <v>274</v>
      </c>
      <c r="C404" s="170" t="s">
        <v>1121</v>
      </c>
      <c r="D404" s="170" t="s">
        <v>1125</v>
      </c>
      <c r="E404" s="170" t="s">
        <v>1126</v>
      </c>
      <c r="F404" s="170" t="s">
        <v>1816</v>
      </c>
      <c r="G404" s="170" t="s">
        <v>62</v>
      </c>
      <c r="H404" s="170" t="s">
        <v>1127</v>
      </c>
      <c r="I404" s="179">
        <v>1</v>
      </c>
      <c r="J404" s="170" t="s">
        <v>1191</v>
      </c>
      <c r="K404" s="170" t="s">
        <v>2239</v>
      </c>
      <c r="L404" s="525" t="s">
        <v>3966</v>
      </c>
      <c r="M404" s="170" t="s">
        <v>10</v>
      </c>
      <c r="N404" s="170" t="s">
        <v>1834</v>
      </c>
      <c r="O404" s="181"/>
      <c r="P404" s="170"/>
      <c r="Q404" s="176"/>
      <c r="R404" s="184"/>
      <c r="S404" s="170"/>
      <c r="T404" s="170"/>
      <c r="U404" s="170"/>
      <c r="V404" s="170"/>
      <c r="W404" s="170"/>
      <c r="X404" s="170"/>
      <c r="Y404" s="170"/>
      <c r="Z404" s="170"/>
      <c r="AA404" s="170"/>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row>
    <row r="405" spans="1:47" ht="15.75" customHeight="1">
      <c r="A405" s="170" t="s">
        <v>24</v>
      </c>
      <c r="B405" s="171" t="s">
        <v>587</v>
      </c>
      <c r="C405" s="170" t="s">
        <v>1128</v>
      </c>
      <c r="D405" s="170" t="s">
        <v>1129</v>
      </c>
      <c r="E405" s="170" t="s">
        <v>1130</v>
      </c>
      <c r="F405" s="172"/>
      <c r="G405" s="172" t="s">
        <v>62</v>
      </c>
      <c r="H405" s="172" t="s">
        <v>591</v>
      </c>
      <c r="I405" s="173">
        <v>1</v>
      </c>
      <c r="J405" s="172"/>
      <c r="K405" s="172"/>
      <c r="L405" s="524"/>
      <c r="M405" s="172"/>
      <c r="N405" s="172"/>
      <c r="O405" s="175"/>
      <c r="P405" s="172"/>
      <c r="Q405" s="176"/>
      <c r="R405" s="177"/>
      <c r="S405" s="172"/>
      <c r="T405" s="172"/>
      <c r="U405" s="172"/>
      <c r="V405" s="172"/>
      <c r="W405" s="172"/>
      <c r="X405" s="172"/>
      <c r="Y405" s="172"/>
      <c r="Z405" s="172"/>
      <c r="AA405" s="170"/>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row>
    <row r="406" spans="1:47" ht="15.75" customHeight="1">
      <c r="A406" s="170" t="s">
        <v>24</v>
      </c>
      <c r="B406" s="171" t="s">
        <v>587</v>
      </c>
      <c r="C406" s="170" t="s">
        <v>1128</v>
      </c>
      <c r="D406" s="170" t="s">
        <v>1131</v>
      </c>
      <c r="E406" s="170" t="s">
        <v>1132</v>
      </c>
      <c r="F406" s="170" t="s">
        <v>1929</v>
      </c>
      <c r="G406" s="170" t="s">
        <v>62</v>
      </c>
      <c r="H406" s="170" t="s">
        <v>591</v>
      </c>
      <c r="I406" s="179">
        <v>1</v>
      </c>
      <c r="J406" s="170" t="s">
        <v>1191</v>
      </c>
      <c r="K406" s="170" t="s">
        <v>2117</v>
      </c>
      <c r="L406" s="525">
        <v>2023</v>
      </c>
      <c r="M406" s="170" t="s">
        <v>10</v>
      </c>
      <c r="N406" s="170" t="s">
        <v>2227</v>
      </c>
      <c r="O406" s="181"/>
      <c r="P406" s="170"/>
      <c r="Q406" s="176"/>
      <c r="R406" s="184"/>
      <c r="S406" s="170"/>
      <c r="T406" s="170"/>
      <c r="U406" s="170"/>
      <c r="V406" s="170"/>
      <c r="W406" s="170"/>
      <c r="X406" s="170"/>
      <c r="Y406" s="170"/>
      <c r="Z406" s="170"/>
      <c r="AA406" s="170"/>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row>
    <row r="407" spans="1:47" ht="15.75" customHeight="1">
      <c r="A407" s="170" t="s">
        <v>24</v>
      </c>
      <c r="B407" s="171" t="s">
        <v>587</v>
      </c>
      <c r="C407" s="170" t="s">
        <v>1128</v>
      </c>
      <c r="D407" s="170" t="s">
        <v>1133</v>
      </c>
      <c r="E407" s="178" t="s">
        <v>1134</v>
      </c>
      <c r="F407" s="170" t="s">
        <v>1929</v>
      </c>
      <c r="G407" s="170" t="s">
        <v>62</v>
      </c>
      <c r="H407" s="170" t="s">
        <v>591</v>
      </c>
      <c r="I407" s="179">
        <v>2</v>
      </c>
      <c r="J407" s="170" t="s">
        <v>1191</v>
      </c>
      <c r="K407" s="170" t="s">
        <v>2117</v>
      </c>
      <c r="L407" s="525">
        <v>2023</v>
      </c>
      <c r="M407" s="170" t="s">
        <v>10</v>
      </c>
      <c r="N407" s="170" t="s">
        <v>2227</v>
      </c>
      <c r="O407" s="181"/>
      <c r="P407" s="170"/>
      <c r="Q407" s="176"/>
      <c r="R407" s="184"/>
      <c r="S407" s="170"/>
      <c r="T407" s="170"/>
      <c r="U407" s="170"/>
      <c r="V407" s="170"/>
      <c r="W407" s="170"/>
      <c r="X407" s="170"/>
      <c r="Y407" s="170"/>
      <c r="Z407" s="170"/>
      <c r="AA407" s="170"/>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row>
    <row r="408" spans="1:47" ht="15.75" customHeight="1">
      <c r="A408" s="170" t="s">
        <v>24</v>
      </c>
      <c r="B408" s="171" t="s">
        <v>587</v>
      </c>
      <c r="C408" s="170" t="s">
        <v>1128</v>
      </c>
      <c r="D408" s="170" t="s">
        <v>1135</v>
      </c>
      <c r="E408" s="178" t="s">
        <v>1136</v>
      </c>
      <c r="F408" s="170" t="s">
        <v>1821</v>
      </c>
      <c r="G408" s="170" t="s">
        <v>62</v>
      </c>
      <c r="H408" s="170" t="s">
        <v>591</v>
      </c>
      <c r="I408" s="179">
        <v>3</v>
      </c>
      <c r="J408" s="170" t="s">
        <v>1191</v>
      </c>
      <c r="K408" s="170" t="s">
        <v>2204</v>
      </c>
      <c r="L408" s="525">
        <v>2023</v>
      </c>
      <c r="M408" s="170" t="s">
        <v>10</v>
      </c>
      <c r="N408" s="170" t="s">
        <v>2227</v>
      </c>
      <c r="O408" s="181"/>
      <c r="P408" s="170"/>
      <c r="Q408" s="176"/>
      <c r="R408" s="184"/>
      <c r="S408" s="170"/>
      <c r="T408" s="170"/>
      <c r="U408" s="170"/>
      <c r="V408" s="170"/>
      <c r="W408" s="170"/>
      <c r="X408" s="170"/>
      <c r="Y408" s="170"/>
      <c r="Z408" s="170"/>
      <c r="AA408" s="170"/>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row>
    <row r="409" spans="1:47" ht="15.75" customHeight="1">
      <c r="A409" s="170" t="s">
        <v>24</v>
      </c>
      <c r="B409" s="171" t="s">
        <v>587</v>
      </c>
      <c r="C409" s="170" t="s">
        <v>1128</v>
      </c>
      <c r="D409" s="170" t="s">
        <v>1137</v>
      </c>
      <c r="E409" s="178" t="s">
        <v>1138</v>
      </c>
      <c r="F409" s="170" t="s">
        <v>1821</v>
      </c>
      <c r="G409" s="170" t="s">
        <v>62</v>
      </c>
      <c r="H409" s="170" t="s">
        <v>591</v>
      </c>
      <c r="I409" s="179">
        <v>4</v>
      </c>
      <c r="J409" s="170" t="s">
        <v>1191</v>
      </c>
      <c r="K409" s="170" t="s">
        <v>2204</v>
      </c>
      <c r="L409" s="525">
        <v>2023</v>
      </c>
      <c r="M409" s="170" t="s">
        <v>10</v>
      </c>
      <c r="N409" s="170" t="s">
        <v>2240</v>
      </c>
      <c r="O409" s="181"/>
      <c r="P409" s="170"/>
      <c r="Q409" s="176"/>
      <c r="R409" s="184"/>
      <c r="S409" s="170"/>
      <c r="T409" s="170"/>
      <c r="U409" s="170"/>
      <c r="V409" s="170"/>
      <c r="W409" s="170"/>
      <c r="X409" s="170"/>
      <c r="Y409" s="170"/>
      <c r="Z409" s="170"/>
      <c r="AA409" s="170"/>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row>
    <row r="410" spans="1:47" ht="15.75" customHeight="1">
      <c r="A410" s="170" t="s">
        <v>24</v>
      </c>
      <c r="B410" s="171" t="s">
        <v>587</v>
      </c>
      <c r="C410" s="170" t="s">
        <v>1128</v>
      </c>
      <c r="D410" s="170" t="s">
        <v>1139</v>
      </c>
      <c r="E410" s="178" t="s">
        <v>1140</v>
      </c>
      <c r="F410" s="170" t="s">
        <v>1821</v>
      </c>
      <c r="G410" s="170" t="s">
        <v>62</v>
      </c>
      <c r="H410" s="170" t="s">
        <v>591</v>
      </c>
      <c r="I410" s="179">
        <v>5</v>
      </c>
      <c r="J410" s="170" t="s">
        <v>1191</v>
      </c>
      <c r="K410" s="170" t="s">
        <v>2204</v>
      </c>
      <c r="L410" s="525">
        <v>2023</v>
      </c>
      <c r="M410" s="170" t="s">
        <v>10</v>
      </c>
      <c r="N410" s="170" t="s">
        <v>2240</v>
      </c>
      <c r="O410" s="181"/>
      <c r="P410" s="170"/>
      <c r="Q410" s="176"/>
      <c r="R410" s="184"/>
      <c r="S410" s="170"/>
      <c r="T410" s="170"/>
      <c r="U410" s="170"/>
      <c r="V410" s="170"/>
      <c r="W410" s="170"/>
      <c r="X410" s="170"/>
      <c r="Y410" s="170"/>
      <c r="Z410" s="170"/>
      <c r="AA410" s="170"/>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row>
    <row r="411" spans="1:47" ht="159.75" customHeight="1">
      <c r="A411" s="170" t="s">
        <v>24</v>
      </c>
      <c r="B411" s="171" t="s">
        <v>587</v>
      </c>
      <c r="C411" s="170" t="s">
        <v>1128</v>
      </c>
      <c r="D411" s="170" t="s">
        <v>1141</v>
      </c>
      <c r="E411" s="170" t="s">
        <v>1142</v>
      </c>
      <c r="F411" s="170" t="s">
        <v>1929</v>
      </c>
      <c r="G411" s="170" t="s">
        <v>58</v>
      </c>
      <c r="H411" s="170" t="s">
        <v>1143</v>
      </c>
      <c r="I411" s="179">
        <v>1</v>
      </c>
      <c r="J411" s="170" t="s">
        <v>1191</v>
      </c>
      <c r="K411" s="170" t="s">
        <v>2204</v>
      </c>
      <c r="L411" s="525">
        <v>2023</v>
      </c>
      <c r="M411" s="170" t="s">
        <v>10</v>
      </c>
      <c r="N411" s="170" t="s">
        <v>2227</v>
      </c>
      <c r="O411" s="181"/>
      <c r="P411" s="170"/>
      <c r="Q411" s="176"/>
      <c r="R411" s="184"/>
      <c r="S411" s="170"/>
      <c r="T411" s="170"/>
      <c r="U411" s="170"/>
      <c r="V411" s="170"/>
      <c r="W411" s="170"/>
      <c r="X411" s="170"/>
      <c r="Y411" s="170"/>
      <c r="Z411" s="170"/>
      <c r="AA411" s="170"/>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row>
    <row r="412" spans="1:47" ht="15.75" hidden="1" customHeight="1">
      <c r="A412" s="170" t="s">
        <v>24</v>
      </c>
      <c r="B412" s="171" t="s">
        <v>587</v>
      </c>
      <c r="C412" s="170" t="s">
        <v>1144</v>
      </c>
      <c r="D412" s="170" t="s">
        <v>1145</v>
      </c>
      <c r="E412" s="170" t="s">
        <v>1146</v>
      </c>
      <c r="F412" s="170"/>
      <c r="G412" s="170" t="s">
        <v>1147</v>
      </c>
      <c r="H412" s="170" t="s">
        <v>735</v>
      </c>
      <c r="I412" s="179">
        <v>1</v>
      </c>
      <c r="J412" s="170"/>
      <c r="K412" s="170"/>
      <c r="L412" s="180"/>
      <c r="M412" s="170"/>
      <c r="N412" s="170"/>
      <c r="O412" s="181"/>
      <c r="P412" s="170"/>
      <c r="Q412" s="176"/>
      <c r="R412" s="184"/>
      <c r="S412" s="170"/>
      <c r="T412" s="170"/>
      <c r="U412" s="170"/>
      <c r="V412" s="170"/>
      <c r="W412" s="170"/>
      <c r="X412" s="170"/>
      <c r="Y412" s="170"/>
      <c r="Z412" s="170"/>
      <c r="AA412" s="170"/>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row>
    <row r="413" spans="1:47" ht="15.75" customHeight="1">
      <c r="A413" s="170" t="s">
        <v>24</v>
      </c>
      <c r="B413" s="171" t="s">
        <v>587</v>
      </c>
      <c r="C413" s="170" t="s">
        <v>1144</v>
      </c>
      <c r="D413" s="170" t="s">
        <v>1148</v>
      </c>
      <c r="E413" s="170" t="s">
        <v>1146</v>
      </c>
      <c r="F413" s="170" t="s">
        <v>1929</v>
      </c>
      <c r="G413" s="170" t="s">
        <v>1149</v>
      </c>
      <c r="H413" s="170" t="s">
        <v>428</v>
      </c>
      <c r="I413" s="179">
        <v>1</v>
      </c>
      <c r="J413" s="170" t="s">
        <v>8</v>
      </c>
      <c r="K413" s="170" t="s">
        <v>1</v>
      </c>
      <c r="L413" s="525">
        <v>2023</v>
      </c>
      <c r="M413" s="170" t="s">
        <v>10</v>
      </c>
      <c r="N413" s="170" t="s">
        <v>2241</v>
      </c>
      <c r="O413" s="181"/>
      <c r="P413" s="170"/>
      <c r="Q413" s="176"/>
      <c r="R413" s="184"/>
      <c r="S413" s="170"/>
      <c r="T413" s="170"/>
      <c r="U413" s="170"/>
      <c r="V413" s="170"/>
      <c r="W413" s="170"/>
      <c r="X413" s="170"/>
      <c r="Y413" s="170"/>
      <c r="Z413" s="170"/>
      <c r="AA413" s="170"/>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row>
    <row r="414" spans="1:47" ht="15.75" hidden="1" customHeight="1">
      <c r="A414" s="172" t="s">
        <v>24</v>
      </c>
      <c r="B414" s="227" t="s">
        <v>587</v>
      </c>
      <c r="C414" s="172" t="s">
        <v>1150</v>
      </c>
      <c r="D414" s="172" t="s">
        <v>582</v>
      </c>
      <c r="E414" s="172" t="s">
        <v>582</v>
      </c>
      <c r="F414" s="172" t="s">
        <v>582</v>
      </c>
      <c r="G414" s="172" t="s">
        <v>582</v>
      </c>
      <c r="H414" s="172" t="s">
        <v>582</v>
      </c>
      <c r="I414" s="172" t="s">
        <v>582</v>
      </c>
      <c r="J414" s="172" t="s">
        <v>582</v>
      </c>
      <c r="K414" s="172" t="s">
        <v>582</v>
      </c>
      <c r="L414" s="172" t="s">
        <v>582</v>
      </c>
      <c r="M414" s="172" t="s">
        <v>582</v>
      </c>
      <c r="N414" s="172" t="s">
        <v>582</v>
      </c>
      <c r="O414" s="172" t="s">
        <v>582</v>
      </c>
      <c r="P414" s="172" t="s">
        <v>582</v>
      </c>
      <c r="Q414" s="228"/>
      <c r="R414" s="177" t="s">
        <v>582</v>
      </c>
      <c r="S414" s="172" t="s">
        <v>582</v>
      </c>
      <c r="T414" s="172" t="s">
        <v>582</v>
      </c>
      <c r="U414" s="172"/>
      <c r="V414" s="172" t="s">
        <v>582</v>
      </c>
      <c r="W414" s="172" t="s">
        <v>582</v>
      </c>
      <c r="X414" s="172" t="s">
        <v>582</v>
      </c>
      <c r="Y414" s="172" t="s">
        <v>582</v>
      </c>
      <c r="Z414" s="172" t="s">
        <v>582</v>
      </c>
      <c r="AA414" s="172" t="s">
        <v>582</v>
      </c>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row>
    <row r="415" spans="1:47" ht="15.75" customHeight="1">
      <c r="A415" s="170" t="s">
        <v>24</v>
      </c>
      <c r="B415" s="171" t="s">
        <v>587</v>
      </c>
      <c r="C415" s="170" t="s">
        <v>1151</v>
      </c>
      <c r="D415" s="170" t="s">
        <v>1152</v>
      </c>
      <c r="E415" s="170" t="s">
        <v>1153</v>
      </c>
      <c r="F415" s="170" t="s">
        <v>1929</v>
      </c>
      <c r="G415" s="170" t="s">
        <v>62</v>
      </c>
      <c r="H415" s="170" t="s">
        <v>1154</v>
      </c>
      <c r="I415" s="170" t="s">
        <v>1155</v>
      </c>
      <c r="J415" s="170" t="s">
        <v>8</v>
      </c>
      <c r="K415" s="170" t="s">
        <v>2242</v>
      </c>
      <c r="L415" s="525">
        <v>2023</v>
      </c>
      <c r="M415" s="170" t="s">
        <v>10</v>
      </c>
      <c r="N415" s="170" t="s">
        <v>2210</v>
      </c>
      <c r="O415" s="181"/>
      <c r="P415" s="170"/>
      <c r="Q415" s="176"/>
      <c r="R415" s="184"/>
      <c r="S415" s="170"/>
      <c r="T415" s="170"/>
      <c r="U415" s="170"/>
      <c r="V415" s="170"/>
      <c r="W415" s="170"/>
      <c r="X415" s="170"/>
      <c r="Y415" s="170"/>
      <c r="Z415" s="170"/>
      <c r="AA415" s="170"/>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row>
    <row r="416" spans="1:47" ht="15.75" hidden="1" customHeight="1">
      <c r="A416" s="271" t="s">
        <v>1156</v>
      </c>
      <c r="B416" s="272"/>
      <c r="C416" s="273"/>
      <c r="D416" s="273"/>
      <c r="E416" s="273"/>
      <c r="F416" s="273"/>
      <c r="G416" s="273"/>
      <c r="H416" s="273"/>
      <c r="I416" s="273"/>
      <c r="J416" s="273"/>
      <c r="K416" s="273"/>
      <c r="L416" s="539"/>
      <c r="M416" s="273"/>
      <c r="N416" s="273"/>
      <c r="O416" s="273"/>
      <c r="P416" s="274"/>
      <c r="Q416" s="275"/>
      <c r="R416" s="276"/>
      <c r="S416" s="273"/>
      <c r="T416" s="273"/>
      <c r="U416" s="273"/>
      <c r="V416" s="273"/>
      <c r="W416" s="273"/>
      <c r="X416" s="273"/>
      <c r="Y416" s="273"/>
      <c r="Z416" s="273"/>
      <c r="AA416" s="273"/>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row>
    <row r="417" spans="1:47" ht="46.5" customHeight="1">
      <c r="A417" s="170" t="s">
        <v>26</v>
      </c>
      <c r="B417" s="171" t="s">
        <v>54</v>
      </c>
      <c r="C417" s="170" t="s">
        <v>1157</v>
      </c>
      <c r="D417" s="170" t="s">
        <v>1158</v>
      </c>
      <c r="E417" s="170" t="s">
        <v>1159</v>
      </c>
      <c r="F417" s="170" t="s">
        <v>1821</v>
      </c>
      <c r="G417" s="170" t="s">
        <v>62</v>
      </c>
      <c r="H417" s="170" t="s">
        <v>1160</v>
      </c>
      <c r="I417" s="179">
        <v>0.5</v>
      </c>
      <c r="J417" s="170" t="s">
        <v>8</v>
      </c>
      <c r="K417" s="170" t="s">
        <v>2243</v>
      </c>
      <c r="L417" s="525">
        <v>2022</v>
      </c>
      <c r="M417" s="170" t="s">
        <v>10</v>
      </c>
      <c r="N417" s="170" t="s">
        <v>2244</v>
      </c>
      <c r="O417" s="181"/>
      <c r="P417" s="170"/>
      <c r="Q417" s="176"/>
      <c r="R417" s="184"/>
      <c r="S417" s="170"/>
      <c r="T417" s="170"/>
      <c r="U417" s="170"/>
      <c r="V417" s="170"/>
      <c r="W417" s="170"/>
      <c r="X417" s="170"/>
      <c r="Y417" s="170"/>
      <c r="Z417" s="170"/>
      <c r="AA417" s="170"/>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row>
    <row r="418" spans="1:47" ht="216" customHeight="1">
      <c r="A418" s="170" t="s">
        <v>26</v>
      </c>
      <c r="B418" s="171" t="s">
        <v>54</v>
      </c>
      <c r="C418" s="170" t="s">
        <v>1161</v>
      </c>
      <c r="D418" s="170" t="s">
        <v>1162</v>
      </c>
      <c r="E418" s="170" t="s">
        <v>1163</v>
      </c>
      <c r="F418" s="170" t="s">
        <v>1821</v>
      </c>
      <c r="G418" s="170" t="s">
        <v>62</v>
      </c>
      <c r="H418" s="170" t="s">
        <v>2245</v>
      </c>
      <c r="I418" s="170" t="s">
        <v>1165</v>
      </c>
      <c r="J418" s="170" t="s">
        <v>8</v>
      </c>
      <c r="K418" s="170" t="s">
        <v>2246</v>
      </c>
      <c r="L418" s="525">
        <v>2022</v>
      </c>
      <c r="M418" s="170" t="s">
        <v>10</v>
      </c>
      <c r="N418" s="170" t="s">
        <v>2247</v>
      </c>
      <c r="O418" s="181"/>
      <c r="P418" s="170"/>
      <c r="Q418" s="176"/>
      <c r="R418" s="184"/>
      <c r="S418" s="170"/>
      <c r="T418" s="170"/>
      <c r="U418" s="170"/>
      <c r="V418" s="170"/>
      <c r="W418" s="170"/>
      <c r="X418" s="170"/>
      <c r="Y418" s="170"/>
      <c r="Z418" s="170"/>
      <c r="AA418" s="170"/>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row>
    <row r="419" spans="1:47" ht="15.75" hidden="1" customHeight="1">
      <c r="A419" s="172" t="s">
        <v>26</v>
      </c>
      <c r="B419" s="227" t="s">
        <v>54</v>
      </c>
      <c r="C419" s="172" t="s">
        <v>1166</v>
      </c>
      <c r="D419" s="172" t="s">
        <v>582</v>
      </c>
      <c r="E419" s="172" t="s">
        <v>582</v>
      </c>
      <c r="F419" s="172" t="s">
        <v>582</v>
      </c>
      <c r="G419" s="172" t="s">
        <v>582</v>
      </c>
      <c r="H419" s="172" t="s">
        <v>582</v>
      </c>
      <c r="I419" s="172" t="s">
        <v>582</v>
      </c>
      <c r="J419" s="172" t="s">
        <v>582</v>
      </c>
      <c r="K419" s="172" t="s">
        <v>582</v>
      </c>
      <c r="L419" s="172" t="s">
        <v>582</v>
      </c>
      <c r="M419" s="172" t="s">
        <v>582</v>
      </c>
      <c r="N419" s="172" t="s">
        <v>582</v>
      </c>
      <c r="O419" s="172" t="s">
        <v>582</v>
      </c>
      <c r="P419" s="172" t="s">
        <v>582</v>
      </c>
      <c r="Q419" s="228"/>
      <c r="R419" s="177" t="s">
        <v>582</v>
      </c>
      <c r="S419" s="172" t="s">
        <v>582</v>
      </c>
      <c r="T419" s="172" t="s">
        <v>582</v>
      </c>
      <c r="U419" s="172"/>
      <c r="V419" s="172" t="s">
        <v>582</v>
      </c>
      <c r="W419" s="172" t="s">
        <v>582</v>
      </c>
      <c r="X419" s="172" t="s">
        <v>582</v>
      </c>
      <c r="Y419" s="172" t="s">
        <v>582</v>
      </c>
      <c r="Z419" s="172" t="s">
        <v>582</v>
      </c>
      <c r="AA419" s="172" t="s">
        <v>582</v>
      </c>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row>
    <row r="420" spans="1:47" ht="15.75" hidden="1" customHeight="1">
      <c r="A420" s="170" t="s">
        <v>26</v>
      </c>
      <c r="B420" s="171" t="s">
        <v>195</v>
      </c>
      <c r="C420" s="170" t="s">
        <v>1167</v>
      </c>
      <c r="D420" s="170" t="s">
        <v>1168</v>
      </c>
      <c r="E420" s="170" t="s">
        <v>1169</v>
      </c>
      <c r="F420" s="170"/>
      <c r="G420" s="170" t="s">
        <v>71</v>
      </c>
      <c r="H420" s="170" t="s">
        <v>1170</v>
      </c>
      <c r="I420" s="170" t="s">
        <v>1171</v>
      </c>
      <c r="J420" s="170"/>
      <c r="K420" s="170"/>
      <c r="L420" s="180"/>
      <c r="M420" s="170"/>
      <c r="N420" s="170"/>
      <c r="O420" s="181"/>
      <c r="P420" s="170"/>
      <c r="Q420" s="176"/>
      <c r="R420" s="184"/>
      <c r="S420" s="170"/>
      <c r="T420" s="170"/>
      <c r="U420" s="170"/>
      <c r="V420" s="170"/>
      <c r="W420" s="170"/>
      <c r="X420" s="170"/>
      <c r="Y420" s="170"/>
      <c r="Z420" s="170"/>
      <c r="AA420" s="170"/>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row>
    <row r="421" spans="1:47" ht="227.25" customHeight="1">
      <c r="A421" s="170" t="s">
        <v>26</v>
      </c>
      <c r="B421" s="171" t="s">
        <v>195</v>
      </c>
      <c r="C421" s="170" t="s">
        <v>1167</v>
      </c>
      <c r="D421" s="170" t="s">
        <v>1172</v>
      </c>
      <c r="E421" s="170" t="s">
        <v>1173</v>
      </c>
      <c r="F421" s="170" t="s">
        <v>1821</v>
      </c>
      <c r="G421" s="170" t="s">
        <v>62</v>
      </c>
      <c r="H421" s="170" t="s">
        <v>1174</v>
      </c>
      <c r="I421" s="170" t="s">
        <v>1175</v>
      </c>
      <c r="J421" s="170" t="s">
        <v>1191</v>
      </c>
      <c r="K421" s="170" t="s">
        <v>2117</v>
      </c>
      <c r="L421" s="525" t="s">
        <v>3966</v>
      </c>
      <c r="M421" s="170" t="s">
        <v>10</v>
      </c>
      <c r="N421" s="170" t="s">
        <v>2248</v>
      </c>
      <c r="O421" s="181"/>
      <c r="P421" s="170"/>
      <c r="Q421" s="176"/>
      <c r="R421" s="184"/>
      <c r="S421" s="170"/>
      <c r="T421" s="170"/>
      <c r="U421" s="170"/>
      <c r="V421" s="170"/>
      <c r="W421" s="170"/>
      <c r="X421" s="170"/>
      <c r="Y421" s="170"/>
      <c r="Z421" s="170"/>
      <c r="AA421" s="170"/>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row>
    <row r="422" spans="1:47" ht="15.75" hidden="1" customHeight="1">
      <c r="A422" s="172" t="s">
        <v>26</v>
      </c>
      <c r="B422" s="227" t="s">
        <v>195</v>
      </c>
      <c r="C422" s="172" t="s">
        <v>1176</v>
      </c>
      <c r="D422" s="172" t="s">
        <v>582</v>
      </c>
      <c r="E422" s="172" t="s">
        <v>582</v>
      </c>
      <c r="F422" s="172" t="s">
        <v>582</v>
      </c>
      <c r="G422" s="172" t="s">
        <v>582</v>
      </c>
      <c r="H422" s="172" t="s">
        <v>582</v>
      </c>
      <c r="I422" s="172" t="s">
        <v>582</v>
      </c>
      <c r="J422" s="172" t="s">
        <v>582</v>
      </c>
      <c r="K422" s="172" t="s">
        <v>582</v>
      </c>
      <c r="L422" s="172" t="s">
        <v>582</v>
      </c>
      <c r="M422" s="172" t="s">
        <v>582</v>
      </c>
      <c r="N422" s="172" t="s">
        <v>582</v>
      </c>
      <c r="O422" s="172" t="s">
        <v>582</v>
      </c>
      <c r="P422" s="172" t="s">
        <v>582</v>
      </c>
      <c r="Q422" s="228"/>
      <c r="R422" s="177" t="s">
        <v>582</v>
      </c>
      <c r="S422" s="172" t="s">
        <v>582</v>
      </c>
      <c r="T422" s="172" t="s">
        <v>582</v>
      </c>
      <c r="U422" s="172"/>
      <c r="V422" s="172" t="s">
        <v>582</v>
      </c>
      <c r="W422" s="172" t="s">
        <v>582</v>
      </c>
      <c r="X422" s="172" t="s">
        <v>582</v>
      </c>
      <c r="Y422" s="172" t="s">
        <v>582</v>
      </c>
      <c r="Z422" s="172" t="s">
        <v>582</v>
      </c>
      <c r="AA422" s="172" t="s">
        <v>582</v>
      </c>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row>
    <row r="423" spans="1:47" ht="15.75" hidden="1" customHeight="1">
      <c r="A423" s="172" t="s">
        <v>26</v>
      </c>
      <c r="B423" s="227" t="s">
        <v>195</v>
      </c>
      <c r="C423" s="172" t="s">
        <v>1177</v>
      </c>
      <c r="D423" s="172" t="s">
        <v>582</v>
      </c>
      <c r="E423" s="172" t="s">
        <v>582</v>
      </c>
      <c r="F423" s="172" t="s">
        <v>582</v>
      </c>
      <c r="G423" s="172" t="s">
        <v>582</v>
      </c>
      <c r="H423" s="172" t="s">
        <v>582</v>
      </c>
      <c r="I423" s="172" t="s">
        <v>582</v>
      </c>
      <c r="J423" s="172" t="s">
        <v>582</v>
      </c>
      <c r="K423" s="172" t="s">
        <v>582</v>
      </c>
      <c r="L423" s="172" t="s">
        <v>582</v>
      </c>
      <c r="M423" s="172" t="s">
        <v>582</v>
      </c>
      <c r="N423" s="172" t="s">
        <v>582</v>
      </c>
      <c r="O423" s="172" t="s">
        <v>582</v>
      </c>
      <c r="P423" s="172" t="s">
        <v>582</v>
      </c>
      <c r="Q423" s="228"/>
      <c r="R423" s="177" t="s">
        <v>582</v>
      </c>
      <c r="S423" s="172" t="s">
        <v>582</v>
      </c>
      <c r="T423" s="172" t="s">
        <v>582</v>
      </c>
      <c r="U423" s="172"/>
      <c r="V423" s="172" t="s">
        <v>582</v>
      </c>
      <c r="W423" s="172" t="s">
        <v>582</v>
      </c>
      <c r="X423" s="172" t="s">
        <v>582</v>
      </c>
      <c r="Y423" s="172" t="s">
        <v>582</v>
      </c>
      <c r="Z423" s="172" t="s">
        <v>582</v>
      </c>
      <c r="AA423" s="172" t="s">
        <v>582</v>
      </c>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row>
    <row r="424" spans="1:47" ht="15.75" hidden="1" customHeight="1">
      <c r="A424" s="172" t="s">
        <v>26</v>
      </c>
      <c r="B424" s="227" t="s">
        <v>195</v>
      </c>
      <c r="C424" s="172" t="s">
        <v>1178</v>
      </c>
      <c r="D424" s="172" t="s">
        <v>582</v>
      </c>
      <c r="E424" s="172" t="s">
        <v>582</v>
      </c>
      <c r="F424" s="172" t="s">
        <v>582</v>
      </c>
      <c r="G424" s="172" t="s">
        <v>582</v>
      </c>
      <c r="H424" s="172" t="s">
        <v>582</v>
      </c>
      <c r="I424" s="172" t="s">
        <v>582</v>
      </c>
      <c r="J424" s="172" t="s">
        <v>582</v>
      </c>
      <c r="K424" s="172" t="s">
        <v>582</v>
      </c>
      <c r="L424" s="172" t="s">
        <v>582</v>
      </c>
      <c r="M424" s="172" t="s">
        <v>582</v>
      </c>
      <c r="N424" s="172" t="s">
        <v>582</v>
      </c>
      <c r="O424" s="172" t="s">
        <v>582</v>
      </c>
      <c r="P424" s="172" t="s">
        <v>582</v>
      </c>
      <c r="Q424" s="228"/>
      <c r="R424" s="177" t="s">
        <v>582</v>
      </c>
      <c r="S424" s="172" t="s">
        <v>582</v>
      </c>
      <c r="T424" s="172" t="s">
        <v>582</v>
      </c>
      <c r="U424" s="172"/>
      <c r="V424" s="172" t="s">
        <v>582</v>
      </c>
      <c r="W424" s="172" t="s">
        <v>582</v>
      </c>
      <c r="X424" s="172" t="s">
        <v>582</v>
      </c>
      <c r="Y424" s="172" t="s">
        <v>582</v>
      </c>
      <c r="Z424" s="172" t="s">
        <v>582</v>
      </c>
      <c r="AA424" s="172" t="s">
        <v>582</v>
      </c>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row>
    <row r="425" spans="1:47" ht="15.75" hidden="1" customHeight="1">
      <c r="A425" s="172" t="s">
        <v>26</v>
      </c>
      <c r="B425" s="227" t="s">
        <v>274</v>
      </c>
      <c r="C425" s="172" t="s">
        <v>1179</v>
      </c>
      <c r="D425" s="172" t="s">
        <v>582</v>
      </c>
      <c r="E425" s="172" t="s">
        <v>582</v>
      </c>
      <c r="F425" s="172" t="s">
        <v>582</v>
      </c>
      <c r="G425" s="172" t="s">
        <v>582</v>
      </c>
      <c r="H425" s="172" t="s">
        <v>582</v>
      </c>
      <c r="I425" s="172" t="s">
        <v>582</v>
      </c>
      <c r="J425" s="172" t="s">
        <v>582</v>
      </c>
      <c r="K425" s="172" t="s">
        <v>582</v>
      </c>
      <c r="L425" s="172" t="s">
        <v>582</v>
      </c>
      <c r="M425" s="172" t="s">
        <v>582</v>
      </c>
      <c r="N425" s="172" t="s">
        <v>582</v>
      </c>
      <c r="O425" s="172" t="s">
        <v>582</v>
      </c>
      <c r="P425" s="172" t="s">
        <v>582</v>
      </c>
      <c r="Q425" s="228"/>
      <c r="R425" s="177" t="s">
        <v>582</v>
      </c>
      <c r="S425" s="172" t="s">
        <v>582</v>
      </c>
      <c r="T425" s="172" t="s">
        <v>582</v>
      </c>
      <c r="U425" s="172"/>
      <c r="V425" s="172" t="s">
        <v>582</v>
      </c>
      <c r="W425" s="172" t="s">
        <v>582</v>
      </c>
      <c r="X425" s="172" t="s">
        <v>582</v>
      </c>
      <c r="Y425" s="172" t="s">
        <v>582</v>
      </c>
      <c r="Z425" s="172" t="s">
        <v>582</v>
      </c>
      <c r="AA425" s="172" t="s">
        <v>582</v>
      </c>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row>
    <row r="426" spans="1:47" ht="15.75" hidden="1" customHeight="1">
      <c r="A426" s="172" t="s">
        <v>26</v>
      </c>
      <c r="B426" s="227" t="s">
        <v>274</v>
      </c>
      <c r="C426" s="172" t="s">
        <v>1180</v>
      </c>
      <c r="D426" s="172" t="s">
        <v>582</v>
      </c>
      <c r="E426" s="172" t="s">
        <v>582</v>
      </c>
      <c r="F426" s="172" t="s">
        <v>582</v>
      </c>
      <c r="G426" s="172" t="s">
        <v>582</v>
      </c>
      <c r="H426" s="172" t="s">
        <v>582</v>
      </c>
      <c r="I426" s="172" t="s">
        <v>582</v>
      </c>
      <c r="J426" s="172" t="s">
        <v>582</v>
      </c>
      <c r="K426" s="172" t="s">
        <v>582</v>
      </c>
      <c r="L426" s="172" t="s">
        <v>582</v>
      </c>
      <c r="M426" s="172" t="s">
        <v>582</v>
      </c>
      <c r="N426" s="172" t="s">
        <v>582</v>
      </c>
      <c r="O426" s="172" t="s">
        <v>582</v>
      </c>
      <c r="P426" s="172" t="s">
        <v>582</v>
      </c>
      <c r="Q426" s="228"/>
      <c r="R426" s="177" t="s">
        <v>582</v>
      </c>
      <c r="S426" s="172" t="s">
        <v>582</v>
      </c>
      <c r="T426" s="172" t="s">
        <v>582</v>
      </c>
      <c r="U426" s="172"/>
      <c r="V426" s="172" t="s">
        <v>582</v>
      </c>
      <c r="W426" s="172" t="s">
        <v>582</v>
      </c>
      <c r="X426" s="172" t="s">
        <v>582</v>
      </c>
      <c r="Y426" s="172" t="s">
        <v>582</v>
      </c>
      <c r="Z426" s="172" t="s">
        <v>582</v>
      </c>
      <c r="AA426" s="172" t="s">
        <v>582</v>
      </c>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row>
    <row r="427" spans="1:47" ht="15.75" hidden="1" customHeight="1">
      <c r="A427" s="172" t="s">
        <v>26</v>
      </c>
      <c r="B427" s="227" t="s">
        <v>274</v>
      </c>
      <c r="C427" s="172" t="s">
        <v>1181</v>
      </c>
      <c r="D427" s="172" t="s">
        <v>582</v>
      </c>
      <c r="E427" s="172" t="s">
        <v>582</v>
      </c>
      <c r="F427" s="172" t="s">
        <v>582</v>
      </c>
      <c r="G427" s="172" t="s">
        <v>582</v>
      </c>
      <c r="H427" s="172" t="s">
        <v>582</v>
      </c>
      <c r="I427" s="172" t="s">
        <v>582</v>
      </c>
      <c r="J427" s="172" t="s">
        <v>582</v>
      </c>
      <c r="K427" s="172" t="s">
        <v>582</v>
      </c>
      <c r="L427" s="172" t="s">
        <v>582</v>
      </c>
      <c r="M427" s="172" t="s">
        <v>582</v>
      </c>
      <c r="N427" s="172" t="s">
        <v>582</v>
      </c>
      <c r="O427" s="172" t="s">
        <v>582</v>
      </c>
      <c r="P427" s="172" t="s">
        <v>582</v>
      </c>
      <c r="Q427" s="228"/>
      <c r="R427" s="177" t="s">
        <v>582</v>
      </c>
      <c r="S427" s="172" t="s">
        <v>582</v>
      </c>
      <c r="T427" s="172" t="s">
        <v>582</v>
      </c>
      <c r="U427" s="172"/>
      <c r="V427" s="172" t="s">
        <v>582</v>
      </c>
      <c r="W427" s="172" t="s">
        <v>582</v>
      </c>
      <c r="X427" s="172" t="s">
        <v>582</v>
      </c>
      <c r="Y427" s="172" t="s">
        <v>582</v>
      </c>
      <c r="Z427" s="172" t="s">
        <v>582</v>
      </c>
      <c r="AA427" s="172" t="s">
        <v>582</v>
      </c>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row>
    <row r="428" spans="1:47" ht="15.75" hidden="1" customHeight="1">
      <c r="A428" s="172" t="s">
        <v>26</v>
      </c>
      <c r="B428" s="227" t="s">
        <v>274</v>
      </c>
      <c r="C428" s="172" t="s">
        <v>1182</v>
      </c>
      <c r="D428" s="172" t="s">
        <v>582</v>
      </c>
      <c r="E428" s="172" t="s">
        <v>582</v>
      </c>
      <c r="F428" s="172" t="s">
        <v>582</v>
      </c>
      <c r="G428" s="172" t="s">
        <v>582</v>
      </c>
      <c r="H428" s="172" t="s">
        <v>582</v>
      </c>
      <c r="I428" s="172" t="s">
        <v>582</v>
      </c>
      <c r="J428" s="172" t="s">
        <v>582</v>
      </c>
      <c r="K428" s="172" t="s">
        <v>582</v>
      </c>
      <c r="L428" s="172" t="s">
        <v>582</v>
      </c>
      <c r="M428" s="172" t="s">
        <v>582</v>
      </c>
      <c r="N428" s="172" t="s">
        <v>582</v>
      </c>
      <c r="O428" s="172" t="s">
        <v>582</v>
      </c>
      <c r="P428" s="172" t="s">
        <v>582</v>
      </c>
      <c r="Q428" s="228"/>
      <c r="R428" s="177" t="s">
        <v>582</v>
      </c>
      <c r="S428" s="172" t="s">
        <v>582</v>
      </c>
      <c r="T428" s="172" t="s">
        <v>582</v>
      </c>
      <c r="U428" s="172"/>
      <c r="V428" s="172" t="s">
        <v>582</v>
      </c>
      <c r="W428" s="172" t="s">
        <v>582</v>
      </c>
      <c r="X428" s="172" t="s">
        <v>582</v>
      </c>
      <c r="Y428" s="172" t="s">
        <v>582</v>
      </c>
      <c r="Z428" s="172" t="s">
        <v>582</v>
      </c>
      <c r="AA428" s="172" t="s">
        <v>582</v>
      </c>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row>
    <row r="429" spans="1:47" ht="15.75" hidden="1" customHeight="1">
      <c r="A429" s="172" t="s">
        <v>26</v>
      </c>
      <c r="B429" s="227" t="s">
        <v>587</v>
      </c>
      <c r="C429" s="172" t="s">
        <v>1183</v>
      </c>
      <c r="D429" s="172" t="s">
        <v>582</v>
      </c>
      <c r="E429" s="172" t="s">
        <v>582</v>
      </c>
      <c r="F429" s="172" t="s">
        <v>582</v>
      </c>
      <c r="G429" s="172" t="s">
        <v>582</v>
      </c>
      <c r="H429" s="172" t="s">
        <v>582</v>
      </c>
      <c r="I429" s="172" t="s">
        <v>582</v>
      </c>
      <c r="J429" s="172" t="s">
        <v>582</v>
      </c>
      <c r="K429" s="172" t="s">
        <v>582</v>
      </c>
      <c r="L429" s="172" t="s">
        <v>582</v>
      </c>
      <c r="M429" s="172" t="s">
        <v>582</v>
      </c>
      <c r="N429" s="172" t="s">
        <v>582</v>
      </c>
      <c r="O429" s="172" t="s">
        <v>582</v>
      </c>
      <c r="P429" s="172" t="s">
        <v>582</v>
      </c>
      <c r="Q429" s="228"/>
      <c r="R429" s="177" t="s">
        <v>582</v>
      </c>
      <c r="S429" s="172" t="s">
        <v>582</v>
      </c>
      <c r="T429" s="172" t="s">
        <v>582</v>
      </c>
      <c r="U429" s="172"/>
      <c r="V429" s="172" t="s">
        <v>582</v>
      </c>
      <c r="W429" s="172" t="s">
        <v>582</v>
      </c>
      <c r="X429" s="172" t="s">
        <v>582</v>
      </c>
      <c r="Y429" s="172" t="s">
        <v>582</v>
      </c>
      <c r="Z429" s="172" t="s">
        <v>582</v>
      </c>
      <c r="AA429" s="172" t="s">
        <v>582</v>
      </c>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row>
    <row r="430" spans="1:47" ht="15.75" hidden="1" customHeight="1">
      <c r="A430" s="172" t="s">
        <v>26</v>
      </c>
      <c r="B430" s="227" t="s">
        <v>587</v>
      </c>
      <c r="C430" s="172" t="s">
        <v>1184</v>
      </c>
      <c r="D430" s="172" t="s">
        <v>582</v>
      </c>
      <c r="E430" s="172" t="s">
        <v>582</v>
      </c>
      <c r="F430" s="172" t="s">
        <v>582</v>
      </c>
      <c r="G430" s="172" t="s">
        <v>582</v>
      </c>
      <c r="H430" s="172" t="s">
        <v>582</v>
      </c>
      <c r="I430" s="172" t="s">
        <v>582</v>
      </c>
      <c r="J430" s="172" t="s">
        <v>582</v>
      </c>
      <c r="K430" s="172" t="s">
        <v>582</v>
      </c>
      <c r="L430" s="172" t="s">
        <v>582</v>
      </c>
      <c r="M430" s="172" t="s">
        <v>582</v>
      </c>
      <c r="N430" s="172" t="s">
        <v>582</v>
      </c>
      <c r="O430" s="172" t="s">
        <v>582</v>
      </c>
      <c r="P430" s="172" t="s">
        <v>582</v>
      </c>
      <c r="Q430" s="228"/>
      <c r="R430" s="177" t="s">
        <v>582</v>
      </c>
      <c r="S430" s="172" t="s">
        <v>582</v>
      </c>
      <c r="T430" s="172" t="s">
        <v>582</v>
      </c>
      <c r="U430" s="172"/>
      <c r="V430" s="172" t="s">
        <v>582</v>
      </c>
      <c r="W430" s="172" t="s">
        <v>582</v>
      </c>
      <c r="X430" s="172" t="s">
        <v>582</v>
      </c>
      <c r="Y430" s="172" t="s">
        <v>582</v>
      </c>
      <c r="Z430" s="172" t="s">
        <v>582</v>
      </c>
      <c r="AA430" s="172" t="s">
        <v>582</v>
      </c>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row>
    <row r="431" spans="1:47" ht="15.75" hidden="1" customHeight="1">
      <c r="A431" s="172" t="s">
        <v>26</v>
      </c>
      <c r="B431" s="227" t="s">
        <v>587</v>
      </c>
      <c r="C431" s="172" t="s">
        <v>1185</v>
      </c>
      <c r="D431" s="172" t="s">
        <v>582</v>
      </c>
      <c r="E431" s="172" t="s">
        <v>582</v>
      </c>
      <c r="F431" s="172" t="s">
        <v>582</v>
      </c>
      <c r="G431" s="172" t="s">
        <v>582</v>
      </c>
      <c r="H431" s="172" t="s">
        <v>582</v>
      </c>
      <c r="I431" s="172" t="s">
        <v>582</v>
      </c>
      <c r="J431" s="172" t="s">
        <v>582</v>
      </c>
      <c r="K431" s="172" t="s">
        <v>582</v>
      </c>
      <c r="L431" s="172" t="s">
        <v>582</v>
      </c>
      <c r="M431" s="172" t="s">
        <v>582</v>
      </c>
      <c r="N431" s="172" t="s">
        <v>582</v>
      </c>
      <c r="O431" s="172" t="s">
        <v>582</v>
      </c>
      <c r="P431" s="172" t="s">
        <v>582</v>
      </c>
      <c r="Q431" s="228"/>
      <c r="R431" s="177" t="s">
        <v>582</v>
      </c>
      <c r="S431" s="172" t="s">
        <v>582</v>
      </c>
      <c r="T431" s="172" t="s">
        <v>582</v>
      </c>
      <c r="U431" s="172"/>
      <c r="V431" s="172" t="s">
        <v>582</v>
      </c>
      <c r="W431" s="172" t="s">
        <v>582</v>
      </c>
      <c r="X431" s="172" t="s">
        <v>582</v>
      </c>
      <c r="Y431" s="172" t="s">
        <v>582</v>
      </c>
      <c r="Z431" s="172" t="s">
        <v>582</v>
      </c>
      <c r="AA431" s="172" t="s">
        <v>582</v>
      </c>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row>
    <row r="432" spans="1:47" ht="65.25" customHeight="1">
      <c r="A432" s="170" t="s">
        <v>26</v>
      </c>
      <c r="B432" s="171" t="s">
        <v>587</v>
      </c>
      <c r="C432" s="170" t="s">
        <v>1186</v>
      </c>
      <c r="D432" s="170" t="s">
        <v>1187</v>
      </c>
      <c r="E432" s="170" t="s">
        <v>1188</v>
      </c>
      <c r="F432" s="170" t="s">
        <v>1821</v>
      </c>
      <c r="G432" s="170" t="s">
        <v>62</v>
      </c>
      <c r="H432" s="170" t="s">
        <v>1189</v>
      </c>
      <c r="I432" s="179">
        <v>0.5</v>
      </c>
      <c r="J432" s="170" t="s">
        <v>8</v>
      </c>
      <c r="K432" s="170" t="s">
        <v>2249</v>
      </c>
      <c r="L432" s="525">
        <v>2022</v>
      </c>
      <c r="M432" s="170" t="s">
        <v>9</v>
      </c>
      <c r="N432" s="170" t="s">
        <v>2250</v>
      </c>
      <c r="O432" s="181"/>
      <c r="P432" s="170"/>
      <c r="Q432" s="176"/>
      <c r="R432" s="184"/>
      <c r="S432" s="170"/>
      <c r="T432" s="170"/>
      <c r="U432" s="170"/>
      <c r="V432" s="170"/>
      <c r="W432" s="170"/>
      <c r="X432" s="170"/>
      <c r="Y432" s="170"/>
      <c r="Z432" s="170"/>
      <c r="AA432" s="170"/>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row>
    <row r="433" spans="1:47" ht="15.75" customHeight="1">
      <c r="A433" s="236"/>
      <c r="B433" s="541"/>
      <c r="C433" s="542"/>
      <c r="D433" s="542"/>
      <c r="E433" s="236"/>
      <c r="F433" s="236"/>
      <c r="G433" s="236"/>
      <c r="H433" s="236"/>
      <c r="I433" s="236"/>
      <c r="J433" s="533"/>
      <c r="K433" s="236"/>
      <c r="L433" s="533"/>
      <c r="M433" s="236"/>
      <c r="N433" s="236"/>
      <c r="O433" s="236"/>
      <c r="P433" s="236"/>
      <c r="Q433" s="228"/>
      <c r="R433" s="162"/>
      <c r="S433" s="162"/>
      <c r="T433" s="162"/>
      <c r="U433" s="162"/>
      <c r="V433" s="162"/>
      <c r="W433" s="162"/>
      <c r="X433" s="162"/>
      <c r="Y433" s="162"/>
      <c r="Z433" s="162"/>
      <c r="AA433" s="236"/>
      <c r="AB433" s="236"/>
      <c r="AC433" s="236"/>
      <c r="AD433" s="236"/>
      <c r="AE433" s="236"/>
      <c r="AF433" s="236"/>
      <c r="AG433" s="236"/>
      <c r="AH433" s="236"/>
      <c r="AI433" s="236"/>
      <c r="AJ433" s="236"/>
      <c r="AK433" s="236"/>
      <c r="AL433" s="236"/>
      <c r="AM433" s="236"/>
      <c r="AN433" s="236"/>
      <c r="AO433" s="236"/>
      <c r="AP433" s="236"/>
      <c r="AQ433" s="236"/>
      <c r="AR433" s="236"/>
      <c r="AS433" s="236"/>
      <c r="AT433" s="236"/>
      <c r="AU433" s="236"/>
    </row>
    <row r="434" spans="1:47" ht="15.75" customHeight="1">
      <c r="A434" s="236"/>
      <c r="B434" s="541"/>
      <c r="C434" s="542"/>
      <c r="D434" s="542"/>
      <c r="E434" s="236"/>
      <c r="F434" s="236"/>
      <c r="G434" s="236"/>
      <c r="H434" s="236"/>
      <c r="I434" s="236"/>
      <c r="J434" s="533"/>
      <c r="K434" s="236"/>
      <c r="L434" s="533"/>
      <c r="M434" s="236"/>
      <c r="N434" s="236"/>
      <c r="O434" s="236"/>
      <c r="P434" s="236"/>
      <c r="Q434" s="228"/>
      <c r="R434" s="162"/>
      <c r="S434" s="162"/>
      <c r="T434" s="162"/>
      <c r="U434" s="162"/>
      <c r="V434" s="162"/>
      <c r="W434" s="162"/>
      <c r="X434" s="162"/>
      <c r="Y434" s="162"/>
      <c r="Z434" s="162"/>
      <c r="AA434" s="236"/>
      <c r="AB434" s="236"/>
      <c r="AC434" s="236"/>
      <c r="AD434" s="236"/>
      <c r="AE434" s="236"/>
      <c r="AF434" s="236"/>
      <c r="AG434" s="236"/>
      <c r="AH434" s="236"/>
      <c r="AI434" s="236"/>
      <c r="AJ434" s="236"/>
      <c r="AK434" s="236"/>
      <c r="AL434" s="236"/>
      <c r="AM434" s="236"/>
      <c r="AN434" s="236"/>
      <c r="AO434" s="236"/>
      <c r="AP434" s="236"/>
      <c r="AQ434" s="236"/>
      <c r="AR434" s="236"/>
      <c r="AS434" s="236"/>
      <c r="AT434" s="236"/>
      <c r="AU434" s="236"/>
    </row>
    <row r="435" spans="1:47" ht="15.75" customHeight="1">
      <c r="A435" s="236"/>
      <c r="B435" s="541"/>
      <c r="C435" s="542"/>
      <c r="D435" s="542"/>
      <c r="E435" s="236"/>
      <c r="F435" s="236"/>
      <c r="G435" s="236"/>
      <c r="H435" s="236"/>
      <c r="I435" s="236"/>
      <c r="J435" s="533"/>
      <c r="K435" s="236"/>
      <c r="L435" s="533"/>
      <c r="M435" s="236"/>
      <c r="N435" s="236"/>
      <c r="O435" s="236"/>
      <c r="P435" s="236"/>
      <c r="Q435" s="228"/>
      <c r="R435" s="162"/>
      <c r="S435" s="162"/>
      <c r="T435" s="162"/>
      <c r="U435" s="162"/>
      <c r="V435" s="162"/>
      <c r="W435" s="162"/>
      <c r="X435" s="162"/>
      <c r="Y435" s="162"/>
      <c r="Z435" s="162"/>
      <c r="AA435" s="236"/>
      <c r="AB435" s="236"/>
      <c r="AC435" s="236"/>
      <c r="AD435" s="236"/>
      <c r="AE435" s="236"/>
      <c r="AF435" s="236"/>
      <c r="AG435" s="236"/>
      <c r="AH435" s="236"/>
      <c r="AI435" s="236"/>
      <c r="AJ435" s="236"/>
      <c r="AK435" s="236"/>
      <c r="AL435" s="236"/>
      <c r="AM435" s="236"/>
      <c r="AN435" s="236"/>
      <c r="AO435" s="236"/>
      <c r="AP435" s="236"/>
      <c r="AQ435" s="236"/>
      <c r="AR435" s="236"/>
      <c r="AS435" s="236"/>
      <c r="AT435" s="236"/>
      <c r="AU435" s="236"/>
    </row>
    <row r="436" spans="1:47" ht="15.75" customHeight="1">
      <c r="A436" s="236"/>
      <c r="B436" s="541"/>
      <c r="C436" s="542"/>
      <c r="D436" s="542"/>
      <c r="E436" s="236"/>
      <c r="F436" s="236"/>
      <c r="G436" s="236"/>
      <c r="H436" s="236"/>
      <c r="I436" s="236"/>
      <c r="J436" s="533"/>
      <c r="K436" s="236"/>
      <c r="L436" s="533"/>
      <c r="M436" s="236"/>
      <c r="N436" s="236"/>
      <c r="O436" s="236"/>
      <c r="P436" s="236"/>
      <c r="Q436" s="228"/>
      <c r="R436" s="162"/>
      <c r="S436" s="162"/>
      <c r="T436" s="162"/>
      <c r="U436" s="162"/>
      <c r="V436" s="162"/>
      <c r="W436" s="162"/>
      <c r="X436" s="162"/>
      <c r="Y436" s="162"/>
      <c r="Z436" s="162"/>
      <c r="AA436" s="236"/>
      <c r="AB436" s="236"/>
      <c r="AC436" s="236"/>
      <c r="AD436" s="236"/>
      <c r="AE436" s="236"/>
      <c r="AF436" s="236"/>
      <c r="AG436" s="236"/>
      <c r="AH436" s="236"/>
      <c r="AI436" s="236"/>
      <c r="AJ436" s="236"/>
      <c r="AK436" s="236"/>
      <c r="AL436" s="236"/>
      <c r="AM436" s="236"/>
      <c r="AN436" s="236"/>
      <c r="AO436" s="236"/>
      <c r="AP436" s="236"/>
      <c r="AQ436" s="236"/>
      <c r="AR436" s="236"/>
      <c r="AS436" s="236"/>
      <c r="AT436" s="236"/>
      <c r="AU436" s="236"/>
    </row>
    <row r="437" spans="1:47" ht="15.75" customHeight="1">
      <c r="A437" s="236"/>
      <c r="B437" s="541"/>
      <c r="C437" s="542"/>
      <c r="D437" s="542"/>
      <c r="E437" s="236"/>
      <c r="F437" s="236"/>
      <c r="G437" s="236"/>
      <c r="H437" s="236"/>
      <c r="I437" s="236"/>
      <c r="J437" s="533"/>
      <c r="K437" s="236"/>
      <c r="L437" s="533"/>
      <c r="M437" s="236"/>
      <c r="N437" s="236"/>
      <c r="O437" s="236"/>
      <c r="P437" s="236"/>
      <c r="Q437" s="228"/>
      <c r="R437" s="162"/>
      <c r="S437" s="162"/>
      <c r="T437" s="162"/>
      <c r="U437" s="162"/>
      <c r="V437" s="162"/>
      <c r="W437" s="162"/>
      <c r="X437" s="162"/>
      <c r="Y437" s="162"/>
      <c r="Z437" s="162"/>
      <c r="AA437" s="236"/>
      <c r="AB437" s="236"/>
      <c r="AC437" s="236"/>
      <c r="AD437" s="236"/>
      <c r="AE437" s="236"/>
      <c r="AF437" s="236"/>
      <c r="AG437" s="236"/>
      <c r="AH437" s="236"/>
      <c r="AI437" s="236"/>
      <c r="AJ437" s="236"/>
      <c r="AK437" s="236"/>
      <c r="AL437" s="236"/>
      <c r="AM437" s="236"/>
      <c r="AN437" s="236"/>
      <c r="AO437" s="236"/>
      <c r="AP437" s="236"/>
      <c r="AQ437" s="236"/>
      <c r="AR437" s="236"/>
      <c r="AS437" s="236"/>
      <c r="AT437" s="236"/>
      <c r="AU437" s="236"/>
    </row>
    <row r="438" spans="1:47" ht="15.75" customHeight="1">
      <c r="A438" s="236"/>
      <c r="B438" s="541"/>
      <c r="C438" s="542"/>
      <c r="D438" s="542"/>
      <c r="E438" s="236"/>
      <c r="F438" s="236"/>
      <c r="G438" s="236"/>
      <c r="H438" s="236"/>
      <c r="I438" s="236"/>
      <c r="J438" s="533"/>
      <c r="K438" s="236"/>
      <c r="L438" s="533"/>
      <c r="M438" s="236"/>
      <c r="N438" s="236"/>
      <c r="O438" s="236"/>
      <c r="P438" s="236"/>
      <c r="Q438" s="228"/>
      <c r="R438" s="162"/>
      <c r="S438" s="162"/>
      <c r="T438" s="162"/>
      <c r="U438" s="162"/>
      <c r="V438" s="162"/>
      <c r="W438" s="162"/>
      <c r="X438" s="162"/>
      <c r="Y438" s="162"/>
      <c r="Z438" s="162"/>
      <c r="AA438" s="236"/>
      <c r="AB438" s="236"/>
      <c r="AC438" s="236"/>
      <c r="AD438" s="236"/>
      <c r="AE438" s="236"/>
      <c r="AF438" s="236"/>
      <c r="AG438" s="236"/>
      <c r="AH438" s="236"/>
      <c r="AI438" s="236"/>
      <c r="AJ438" s="236"/>
      <c r="AK438" s="236"/>
      <c r="AL438" s="236"/>
      <c r="AM438" s="236"/>
      <c r="AN438" s="236"/>
      <c r="AO438" s="236"/>
      <c r="AP438" s="236"/>
      <c r="AQ438" s="236"/>
      <c r="AR438" s="236"/>
      <c r="AS438" s="236"/>
      <c r="AT438" s="236"/>
      <c r="AU438" s="236"/>
    </row>
    <row r="439" spans="1:47" ht="15.75" customHeight="1">
      <c r="A439" s="236"/>
      <c r="B439" s="541"/>
      <c r="C439" s="542"/>
      <c r="D439" s="542"/>
      <c r="E439" s="236"/>
      <c r="F439" s="236"/>
      <c r="G439" s="236"/>
      <c r="H439" s="236"/>
      <c r="I439" s="236"/>
      <c r="J439" s="533"/>
      <c r="K439" s="236"/>
      <c r="L439" s="533"/>
      <c r="M439" s="236"/>
      <c r="N439" s="236"/>
      <c r="O439" s="236"/>
      <c r="P439" s="236"/>
      <c r="Q439" s="228"/>
      <c r="R439" s="162"/>
      <c r="S439" s="162"/>
      <c r="T439" s="162"/>
      <c r="U439" s="162"/>
      <c r="V439" s="162"/>
      <c r="W439" s="162"/>
      <c r="X439" s="162"/>
      <c r="Y439" s="162"/>
      <c r="Z439" s="162"/>
      <c r="AA439" s="236"/>
      <c r="AB439" s="236"/>
      <c r="AC439" s="236"/>
      <c r="AD439" s="236"/>
      <c r="AE439" s="236"/>
      <c r="AF439" s="236"/>
      <c r="AG439" s="236"/>
      <c r="AH439" s="236"/>
      <c r="AI439" s="236"/>
      <c r="AJ439" s="236"/>
      <c r="AK439" s="236"/>
      <c r="AL439" s="236"/>
      <c r="AM439" s="236"/>
      <c r="AN439" s="236"/>
      <c r="AO439" s="236"/>
      <c r="AP439" s="236"/>
      <c r="AQ439" s="236"/>
      <c r="AR439" s="236"/>
      <c r="AS439" s="236"/>
      <c r="AT439" s="236"/>
      <c r="AU439" s="236"/>
    </row>
    <row r="440" spans="1:47" ht="15.75" customHeight="1">
      <c r="A440" s="236"/>
      <c r="B440" s="541"/>
      <c r="C440" s="542"/>
      <c r="D440" s="542"/>
      <c r="E440" s="236"/>
      <c r="F440" s="236"/>
      <c r="G440" s="236"/>
      <c r="H440" s="236"/>
      <c r="I440" s="236"/>
      <c r="J440" s="533"/>
      <c r="K440" s="236"/>
      <c r="L440" s="533"/>
      <c r="M440" s="236"/>
      <c r="N440" s="236"/>
      <c r="O440" s="236"/>
      <c r="P440" s="236"/>
      <c r="Q440" s="228"/>
      <c r="R440" s="162"/>
      <c r="S440" s="162"/>
      <c r="T440" s="162"/>
      <c r="U440" s="162"/>
      <c r="V440" s="162"/>
      <c r="W440" s="162"/>
      <c r="X440" s="162"/>
      <c r="Y440" s="162"/>
      <c r="Z440" s="162"/>
      <c r="AA440" s="236"/>
      <c r="AB440" s="236"/>
      <c r="AC440" s="236"/>
      <c r="AD440" s="236"/>
      <c r="AE440" s="236"/>
      <c r="AF440" s="236"/>
      <c r="AG440" s="236"/>
      <c r="AH440" s="236"/>
      <c r="AI440" s="236"/>
      <c r="AJ440" s="236"/>
      <c r="AK440" s="236"/>
      <c r="AL440" s="236"/>
      <c r="AM440" s="236"/>
      <c r="AN440" s="236"/>
      <c r="AO440" s="236"/>
      <c r="AP440" s="236"/>
      <c r="AQ440" s="236"/>
      <c r="AR440" s="236"/>
      <c r="AS440" s="236"/>
      <c r="AT440" s="236"/>
      <c r="AU440" s="236"/>
    </row>
    <row r="441" spans="1:47" ht="15.75" customHeight="1">
      <c r="A441" s="236"/>
      <c r="B441" s="541"/>
      <c r="C441" s="542"/>
      <c r="D441" s="542"/>
      <c r="E441" s="236"/>
      <c r="F441" s="236"/>
      <c r="G441" s="236"/>
      <c r="H441" s="236"/>
      <c r="I441" s="236"/>
      <c r="J441" s="533"/>
      <c r="K441" s="236"/>
      <c r="L441" s="533"/>
      <c r="M441" s="236"/>
      <c r="N441" s="236"/>
      <c r="O441" s="236"/>
      <c r="P441" s="236"/>
      <c r="Q441" s="228"/>
      <c r="R441" s="162"/>
      <c r="S441" s="162"/>
      <c r="T441" s="162"/>
      <c r="U441" s="162"/>
      <c r="V441" s="162"/>
      <c r="W441" s="162"/>
      <c r="X441" s="162"/>
      <c r="Y441" s="162"/>
      <c r="Z441" s="162"/>
      <c r="AA441" s="236"/>
      <c r="AB441" s="236"/>
      <c r="AC441" s="236"/>
      <c r="AD441" s="236"/>
      <c r="AE441" s="236"/>
      <c r="AF441" s="236"/>
      <c r="AG441" s="236"/>
      <c r="AH441" s="236"/>
      <c r="AI441" s="236"/>
      <c r="AJ441" s="236"/>
      <c r="AK441" s="236"/>
      <c r="AL441" s="236"/>
      <c r="AM441" s="236"/>
      <c r="AN441" s="236"/>
      <c r="AO441" s="236"/>
      <c r="AP441" s="236"/>
      <c r="AQ441" s="236"/>
      <c r="AR441" s="236"/>
      <c r="AS441" s="236"/>
      <c r="AT441" s="236"/>
      <c r="AU441" s="236"/>
    </row>
    <row r="442" spans="1:47" ht="15.75" customHeight="1">
      <c r="A442" s="236"/>
      <c r="B442" s="541"/>
      <c r="C442" s="542"/>
      <c r="D442" s="542"/>
      <c r="E442" s="236"/>
      <c r="F442" s="236"/>
      <c r="G442" s="236"/>
      <c r="H442" s="236"/>
      <c r="I442" s="236"/>
      <c r="J442" s="533"/>
      <c r="K442" s="236"/>
      <c r="L442" s="533"/>
      <c r="M442" s="236"/>
      <c r="N442" s="236"/>
      <c r="O442" s="236"/>
      <c r="P442" s="236"/>
      <c r="Q442" s="228"/>
      <c r="R442" s="162"/>
      <c r="S442" s="162"/>
      <c r="T442" s="162"/>
      <c r="U442" s="162"/>
      <c r="V442" s="162"/>
      <c r="W442" s="162"/>
      <c r="X442" s="162"/>
      <c r="Y442" s="162"/>
      <c r="Z442" s="162"/>
      <c r="AA442" s="236"/>
      <c r="AB442" s="236"/>
      <c r="AC442" s="236"/>
      <c r="AD442" s="236"/>
      <c r="AE442" s="236"/>
      <c r="AF442" s="236"/>
      <c r="AG442" s="236"/>
      <c r="AH442" s="236"/>
      <c r="AI442" s="236"/>
      <c r="AJ442" s="236"/>
      <c r="AK442" s="236"/>
      <c r="AL442" s="236"/>
      <c r="AM442" s="236"/>
      <c r="AN442" s="236"/>
      <c r="AO442" s="236"/>
      <c r="AP442" s="236"/>
      <c r="AQ442" s="236"/>
      <c r="AR442" s="236"/>
      <c r="AS442" s="236"/>
      <c r="AT442" s="236"/>
      <c r="AU442" s="236"/>
    </row>
    <row r="443" spans="1:47" ht="15.75" customHeight="1">
      <c r="A443" s="236"/>
      <c r="B443" s="541"/>
      <c r="C443" s="542"/>
      <c r="D443" s="542"/>
      <c r="E443" s="236"/>
      <c r="F443" s="236"/>
      <c r="G443" s="236"/>
      <c r="H443" s="236"/>
      <c r="I443" s="236"/>
      <c r="J443" s="533"/>
      <c r="K443" s="236"/>
      <c r="L443" s="533"/>
      <c r="M443" s="236"/>
      <c r="N443" s="236"/>
      <c r="O443" s="236"/>
      <c r="P443" s="236"/>
      <c r="Q443" s="228"/>
      <c r="R443" s="162"/>
      <c r="S443" s="162"/>
      <c r="T443" s="162"/>
      <c r="U443" s="162"/>
      <c r="V443" s="162"/>
      <c r="W443" s="162"/>
      <c r="X443" s="162"/>
      <c r="Y443" s="162"/>
      <c r="Z443" s="162"/>
      <c r="AA443" s="236"/>
      <c r="AB443" s="236"/>
      <c r="AC443" s="236"/>
      <c r="AD443" s="236"/>
      <c r="AE443" s="236"/>
      <c r="AF443" s="236"/>
      <c r="AG443" s="236"/>
      <c r="AH443" s="236"/>
      <c r="AI443" s="236"/>
      <c r="AJ443" s="236"/>
      <c r="AK443" s="236"/>
      <c r="AL443" s="236"/>
      <c r="AM443" s="236"/>
      <c r="AN443" s="236"/>
      <c r="AO443" s="236"/>
      <c r="AP443" s="236"/>
      <c r="AQ443" s="236"/>
      <c r="AR443" s="236"/>
      <c r="AS443" s="236"/>
      <c r="AT443" s="236"/>
      <c r="AU443" s="236"/>
    </row>
    <row r="444" spans="1:47" ht="15.75" customHeight="1">
      <c r="A444" s="236"/>
      <c r="B444" s="541"/>
      <c r="C444" s="542"/>
      <c r="D444" s="542"/>
      <c r="E444" s="236"/>
      <c r="F444" s="236"/>
      <c r="G444" s="236"/>
      <c r="H444" s="236"/>
      <c r="I444" s="236"/>
      <c r="J444" s="533"/>
      <c r="K444" s="236"/>
      <c r="L444" s="533"/>
      <c r="M444" s="236"/>
      <c r="N444" s="236"/>
      <c r="O444" s="236"/>
      <c r="P444" s="236"/>
      <c r="Q444" s="228"/>
      <c r="R444" s="162"/>
      <c r="S444" s="162"/>
      <c r="T444" s="162"/>
      <c r="U444" s="162"/>
      <c r="V444" s="162"/>
      <c r="W444" s="162"/>
      <c r="X444" s="162"/>
      <c r="Y444" s="162"/>
      <c r="Z444" s="162"/>
      <c r="AA444" s="236"/>
      <c r="AB444" s="236"/>
      <c r="AC444" s="236"/>
      <c r="AD444" s="236"/>
      <c r="AE444" s="236"/>
      <c r="AF444" s="236"/>
      <c r="AG444" s="236"/>
      <c r="AH444" s="236"/>
      <c r="AI444" s="236"/>
      <c r="AJ444" s="236"/>
      <c r="AK444" s="236"/>
      <c r="AL444" s="236"/>
      <c r="AM444" s="236"/>
      <c r="AN444" s="236"/>
      <c r="AO444" s="236"/>
      <c r="AP444" s="236"/>
      <c r="AQ444" s="236"/>
      <c r="AR444" s="236"/>
      <c r="AS444" s="236"/>
      <c r="AT444" s="236"/>
      <c r="AU444" s="236"/>
    </row>
    <row r="445" spans="1:47" ht="15.75" customHeight="1">
      <c r="A445" s="236"/>
      <c r="B445" s="541"/>
      <c r="C445" s="542"/>
      <c r="D445" s="542"/>
      <c r="E445" s="236"/>
      <c r="F445" s="236"/>
      <c r="G445" s="236"/>
      <c r="H445" s="236"/>
      <c r="I445" s="236"/>
      <c r="J445" s="533"/>
      <c r="K445" s="236"/>
      <c r="L445" s="533"/>
      <c r="M445" s="236"/>
      <c r="N445" s="236"/>
      <c r="O445" s="236"/>
      <c r="P445" s="236"/>
      <c r="Q445" s="228"/>
      <c r="R445" s="162"/>
      <c r="S445" s="162"/>
      <c r="T445" s="162"/>
      <c r="U445" s="162"/>
      <c r="V445" s="162"/>
      <c r="W445" s="162"/>
      <c r="X445" s="162"/>
      <c r="Y445" s="162"/>
      <c r="Z445" s="162"/>
      <c r="AA445" s="236"/>
      <c r="AB445" s="236"/>
      <c r="AC445" s="236"/>
      <c r="AD445" s="236"/>
      <c r="AE445" s="236"/>
      <c r="AF445" s="236"/>
      <c r="AG445" s="236"/>
      <c r="AH445" s="236"/>
      <c r="AI445" s="236"/>
      <c r="AJ445" s="236"/>
      <c r="AK445" s="236"/>
      <c r="AL445" s="236"/>
      <c r="AM445" s="236"/>
      <c r="AN445" s="236"/>
      <c r="AO445" s="236"/>
      <c r="AP445" s="236"/>
      <c r="AQ445" s="236"/>
      <c r="AR445" s="236"/>
      <c r="AS445" s="236"/>
      <c r="AT445" s="236"/>
      <c r="AU445" s="236"/>
    </row>
    <row r="446" spans="1:47" ht="15.75" customHeight="1">
      <c r="A446" s="236"/>
      <c r="B446" s="541"/>
      <c r="C446" s="542"/>
      <c r="D446" s="542"/>
      <c r="E446" s="236"/>
      <c r="F446" s="236"/>
      <c r="G446" s="236"/>
      <c r="H446" s="236"/>
      <c r="I446" s="236"/>
      <c r="J446" s="533"/>
      <c r="K446" s="236"/>
      <c r="L446" s="533"/>
      <c r="M446" s="236"/>
      <c r="N446" s="236"/>
      <c r="O446" s="236"/>
      <c r="P446" s="236"/>
      <c r="Q446" s="228"/>
      <c r="R446" s="162"/>
      <c r="S446" s="162"/>
      <c r="T446" s="162"/>
      <c r="U446" s="162"/>
      <c r="V446" s="162"/>
      <c r="W446" s="162"/>
      <c r="X446" s="162"/>
      <c r="Y446" s="162"/>
      <c r="Z446" s="162"/>
      <c r="AA446" s="236"/>
      <c r="AB446" s="236"/>
      <c r="AC446" s="236"/>
      <c r="AD446" s="236"/>
      <c r="AE446" s="236"/>
      <c r="AF446" s="236"/>
      <c r="AG446" s="236"/>
      <c r="AH446" s="236"/>
      <c r="AI446" s="236"/>
      <c r="AJ446" s="236"/>
      <c r="AK446" s="236"/>
      <c r="AL446" s="236"/>
      <c r="AM446" s="236"/>
      <c r="AN446" s="236"/>
      <c r="AO446" s="236"/>
      <c r="AP446" s="236"/>
      <c r="AQ446" s="236"/>
      <c r="AR446" s="236"/>
      <c r="AS446" s="236"/>
      <c r="AT446" s="236"/>
      <c r="AU446" s="236"/>
    </row>
    <row r="447" spans="1:47" ht="15.75" customHeight="1">
      <c r="A447" s="236"/>
      <c r="B447" s="541"/>
      <c r="C447" s="542"/>
      <c r="D447" s="542"/>
      <c r="E447" s="236"/>
      <c r="F447" s="236"/>
      <c r="G447" s="236"/>
      <c r="H447" s="236"/>
      <c r="I447" s="236"/>
      <c r="J447" s="533"/>
      <c r="K447" s="236"/>
      <c r="L447" s="533"/>
      <c r="M447" s="236"/>
      <c r="N447" s="236"/>
      <c r="O447" s="236"/>
      <c r="P447" s="236"/>
      <c r="Q447" s="228"/>
      <c r="R447" s="162"/>
      <c r="S447" s="162"/>
      <c r="T447" s="162"/>
      <c r="U447" s="162"/>
      <c r="V447" s="162"/>
      <c r="W447" s="162"/>
      <c r="X447" s="162"/>
      <c r="Y447" s="162"/>
      <c r="Z447" s="162"/>
      <c r="AA447" s="236"/>
      <c r="AB447" s="236"/>
      <c r="AC447" s="236"/>
      <c r="AD447" s="236"/>
      <c r="AE447" s="236"/>
      <c r="AF447" s="236"/>
      <c r="AG447" s="236"/>
      <c r="AH447" s="236"/>
      <c r="AI447" s="236"/>
      <c r="AJ447" s="236"/>
      <c r="AK447" s="236"/>
      <c r="AL447" s="236"/>
      <c r="AM447" s="236"/>
      <c r="AN447" s="236"/>
      <c r="AO447" s="236"/>
      <c r="AP447" s="236"/>
      <c r="AQ447" s="236"/>
      <c r="AR447" s="236"/>
      <c r="AS447" s="236"/>
      <c r="AT447" s="236"/>
      <c r="AU447" s="236"/>
    </row>
    <row r="448" spans="1:47" ht="15.75" customHeight="1">
      <c r="A448" s="236"/>
      <c r="B448" s="541"/>
      <c r="C448" s="542"/>
      <c r="D448" s="542"/>
      <c r="E448" s="236"/>
      <c r="F448" s="236"/>
      <c r="G448" s="236"/>
      <c r="H448" s="236"/>
      <c r="I448" s="236"/>
      <c r="J448" s="533"/>
      <c r="K448" s="236"/>
      <c r="L448" s="533"/>
      <c r="M448" s="236"/>
      <c r="N448" s="236"/>
      <c r="O448" s="236"/>
      <c r="P448" s="236"/>
      <c r="Q448" s="228"/>
      <c r="R448" s="162"/>
      <c r="S448" s="162"/>
      <c r="T448" s="162"/>
      <c r="U448" s="162"/>
      <c r="V448" s="162"/>
      <c r="W448" s="162"/>
      <c r="X448" s="162"/>
      <c r="Y448" s="162"/>
      <c r="Z448" s="162"/>
      <c r="AA448" s="236"/>
      <c r="AB448" s="236"/>
      <c r="AC448" s="236"/>
      <c r="AD448" s="236"/>
      <c r="AE448" s="236"/>
      <c r="AF448" s="236"/>
      <c r="AG448" s="236"/>
      <c r="AH448" s="236"/>
      <c r="AI448" s="236"/>
      <c r="AJ448" s="236"/>
      <c r="AK448" s="236"/>
      <c r="AL448" s="236"/>
      <c r="AM448" s="236"/>
      <c r="AN448" s="236"/>
      <c r="AO448" s="236"/>
      <c r="AP448" s="236"/>
      <c r="AQ448" s="236"/>
      <c r="AR448" s="236"/>
      <c r="AS448" s="236"/>
      <c r="AT448" s="236"/>
      <c r="AU448" s="236"/>
    </row>
    <row r="449" spans="1:47" ht="15.75" customHeight="1">
      <c r="A449" s="236"/>
      <c r="B449" s="541"/>
      <c r="C449" s="542"/>
      <c r="D449" s="542"/>
      <c r="E449" s="236"/>
      <c r="F449" s="236"/>
      <c r="G449" s="236"/>
      <c r="H449" s="236"/>
      <c r="I449" s="236"/>
      <c r="J449" s="533"/>
      <c r="K449" s="236"/>
      <c r="L449" s="533"/>
      <c r="M449" s="236"/>
      <c r="N449" s="236"/>
      <c r="O449" s="236"/>
      <c r="P449" s="236"/>
      <c r="Q449" s="228"/>
      <c r="R449" s="162"/>
      <c r="S449" s="162"/>
      <c r="T449" s="162"/>
      <c r="U449" s="162"/>
      <c r="V449" s="162"/>
      <c r="W449" s="162"/>
      <c r="X449" s="162"/>
      <c r="Y449" s="162"/>
      <c r="Z449" s="162"/>
      <c r="AA449" s="236"/>
      <c r="AB449" s="236"/>
      <c r="AC449" s="236"/>
      <c r="AD449" s="236"/>
      <c r="AE449" s="236"/>
      <c r="AF449" s="236"/>
      <c r="AG449" s="236"/>
      <c r="AH449" s="236"/>
      <c r="AI449" s="236"/>
      <c r="AJ449" s="236"/>
      <c r="AK449" s="236"/>
      <c r="AL449" s="236"/>
      <c r="AM449" s="236"/>
      <c r="AN449" s="236"/>
      <c r="AO449" s="236"/>
      <c r="AP449" s="236"/>
      <c r="AQ449" s="236"/>
      <c r="AR449" s="236"/>
      <c r="AS449" s="236"/>
      <c r="AT449" s="236"/>
      <c r="AU449" s="236"/>
    </row>
    <row r="450" spans="1:47" ht="15.75" customHeight="1">
      <c r="A450" s="236"/>
      <c r="B450" s="541"/>
      <c r="C450" s="542"/>
      <c r="D450" s="542"/>
      <c r="E450" s="236"/>
      <c r="F450" s="236"/>
      <c r="G450" s="236"/>
      <c r="H450" s="236"/>
      <c r="I450" s="236"/>
      <c r="J450" s="533"/>
      <c r="K450" s="236"/>
      <c r="L450" s="533"/>
      <c r="M450" s="236"/>
      <c r="N450" s="236"/>
      <c r="O450" s="236"/>
      <c r="P450" s="236"/>
      <c r="Q450" s="228"/>
      <c r="R450" s="162"/>
      <c r="S450" s="162"/>
      <c r="T450" s="162"/>
      <c r="U450" s="162"/>
      <c r="V450" s="162"/>
      <c r="W450" s="162"/>
      <c r="X450" s="162"/>
      <c r="Y450" s="162"/>
      <c r="Z450" s="162"/>
      <c r="AA450" s="236"/>
      <c r="AB450" s="236"/>
      <c r="AC450" s="236"/>
      <c r="AD450" s="236"/>
      <c r="AE450" s="236"/>
      <c r="AF450" s="236"/>
      <c r="AG450" s="236"/>
      <c r="AH450" s="236"/>
      <c r="AI450" s="236"/>
      <c r="AJ450" s="236"/>
      <c r="AK450" s="236"/>
      <c r="AL450" s="236"/>
      <c r="AM450" s="236"/>
      <c r="AN450" s="236"/>
      <c r="AO450" s="236"/>
      <c r="AP450" s="236"/>
      <c r="AQ450" s="236"/>
      <c r="AR450" s="236"/>
      <c r="AS450" s="236"/>
      <c r="AT450" s="236"/>
      <c r="AU450" s="236"/>
    </row>
    <row r="451" spans="1:47" ht="15.75" customHeight="1">
      <c r="A451" s="236"/>
      <c r="B451" s="541"/>
      <c r="C451" s="542"/>
      <c r="D451" s="542"/>
      <c r="E451" s="236"/>
      <c r="F451" s="236"/>
      <c r="G451" s="236"/>
      <c r="H451" s="236"/>
      <c r="I451" s="236"/>
      <c r="J451" s="533"/>
      <c r="K451" s="236"/>
      <c r="L451" s="533"/>
      <c r="M451" s="236"/>
      <c r="N451" s="236"/>
      <c r="O451" s="236"/>
      <c r="P451" s="236"/>
      <c r="Q451" s="228"/>
      <c r="R451" s="162"/>
      <c r="S451" s="162"/>
      <c r="T451" s="162"/>
      <c r="U451" s="162"/>
      <c r="V451" s="162"/>
      <c r="W451" s="162"/>
      <c r="X451" s="162"/>
      <c r="Y451" s="162"/>
      <c r="Z451" s="162"/>
      <c r="AA451" s="236"/>
      <c r="AB451" s="236"/>
      <c r="AC451" s="236"/>
      <c r="AD451" s="236"/>
      <c r="AE451" s="236"/>
      <c r="AF451" s="236"/>
      <c r="AG451" s="236"/>
      <c r="AH451" s="236"/>
      <c r="AI451" s="236"/>
      <c r="AJ451" s="236"/>
      <c r="AK451" s="236"/>
      <c r="AL451" s="236"/>
      <c r="AM451" s="236"/>
      <c r="AN451" s="236"/>
      <c r="AO451" s="236"/>
      <c r="AP451" s="236"/>
      <c r="AQ451" s="236"/>
      <c r="AR451" s="236"/>
      <c r="AS451" s="236"/>
      <c r="AT451" s="236"/>
      <c r="AU451" s="236"/>
    </row>
    <row r="452" spans="1:47" ht="15.75" customHeight="1">
      <c r="A452" s="236"/>
      <c r="B452" s="541"/>
      <c r="C452" s="542"/>
      <c r="D452" s="542"/>
      <c r="E452" s="236"/>
      <c r="F452" s="236"/>
      <c r="G452" s="236"/>
      <c r="H452" s="236"/>
      <c r="I452" s="236"/>
      <c r="J452" s="533"/>
      <c r="K452" s="236"/>
      <c r="L452" s="533"/>
      <c r="M452" s="236"/>
      <c r="N452" s="236"/>
      <c r="O452" s="236"/>
      <c r="P452" s="236"/>
      <c r="Q452" s="228"/>
      <c r="R452" s="162"/>
      <c r="S452" s="162"/>
      <c r="T452" s="162"/>
      <c r="U452" s="162"/>
      <c r="V452" s="162"/>
      <c r="W452" s="162"/>
      <c r="X452" s="162"/>
      <c r="Y452" s="162"/>
      <c r="Z452" s="162"/>
      <c r="AA452" s="236"/>
      <c r="AB452" s="236"/>
      <c r="AC452" s="236"/>
      <c r="AD452" s="236"/>
      <c r="AE452" s="236"/>
      <c r="AF452" s="236"/>
      <c r="AG452" s="236"/>
      <c r="AH452" s="236"/>
      <c r="AI452" s="236"/>
      <c r="AJ452" s="236"/>
      <c r="AK452" s="236"/>
      <c r="AL452" s="236"/>
      <c r="AM452" s="236"/>
      <c r="AN452" s="236"/>
      <c r="AO452" s="236"/>
      <c r="AP452" s="236"/>
      <c r="AQ452" s="236"/>
      <c r="AR452" s="236"/>
      <c r="AS452" s="236"/>
      <c r="AT452" s="236"/>
      <c r="AU452" s="236"/>
    </row>
    <row r="453" spans="1:47" ht="15.75" customHeight="1">
      <c r="A453" s="236"/>
      <c r="B453" s="541"/>
      <c r="C453" s="542"/>
      <c r="D453" s="542"/>
      <c r="E453" s="236"/>
      <c r="F453" s="236"/>
      <c r="G453" s="236"/>
      <c r="H453" s="236"/>
      <c r="I453" s="236"/>
      <c r="J453" s="533"/>
      <c r="K453" s="236"/>
      <c r="L453" s="533"/>
      <c r="M453" s="236"/>
      <c r="N453" s="236"/>
      <c r="O453" s="236"/>
      <c r="P453" s="236"/>
      <c r="Q453" s="228"/>
      <c r="R453" s="162"/>
      <c r="S453" s="162"/>
      <c r="T453" s="162"/>
      <c r="U453" s="162"/>
      <c r="V453" s="162"/>
      <c r="W453" s="162"/>
      <c r="X453" s="162"/>
      <c r="Y453" s="162"/>
      <c r="Z453" s="162"/>
      <c r="AA453" s="236"/>
      <c r="AB453" s="236"/>
      <c r="AC453" s="236"/>
      <c r="AD453" s="236"/>
      <c r="AE453" s="236"/>
      <c r="AF453" s="236"/>
      <c r="AG453" s="236"/>
      <c r="AH453" s="236"/>
      <c r="AI453" s="236"/>
      <c r="AJ453" s="236"/>
      <c r="AK453" s="236"/>
      <c r="AL453" s="236"/>
      <c r="AM453" s="236"/>
      <c r="AN453" s="236"/>
      <c r="AO453" s="236"/>
      <c r="AP453" s="236"/>
      <c r="AQ453" s="236"/>
      <c r="AR453" s="236"/>
      <c r="AS453" s="236"/>
      <c r="AT453" s="236"/>
      <c r="AU453" s="236"/>
    </row>
    <row r="454" spans="1:47" ht="15.75" customHeight="1">
      <c r="A454" s="236"/>
      <c r="B454" s="541"/>
      <c r="C454" s="542"/>
      <c r="D454" s="542"/>
      <c r="E454" s="236"/>
      <c r="F454" s="236"/>
      <c r="G454" s="236"/>
      <c r="H454" s="236"/>
      <c r="I454" s="236"/>
      <c r="J454" s="533"/>
      <c r="K454" s="236"/>
      <c r="L454" s="533"/>
      <c r="M454" s="236"/>
      <c r="N454" s="236"/>
      <c r="O454" s="236"/>
      <c r="P454" s="236"/>
      <c r="Q454" s="228"/>
      <c r="R454" s="162"/>
      <c r="S454" s="162"/>
      <c r="T454" s="162"/>
      <c r="U454" s="162"/>
      <c r="V454" s="162"/>
      <c r="W454" s="162"/>
      <c r="X454" s="162"/>
      <c r="Y454" s="162"/>
      <c r="Z454" s="162"/>
      <c r="AA454" s="236"/>
      <c r="AB454" s="236"/>
      <c r="AC454" s="236"/>
      <c r="AD454" s="236"/>
      <c r="AE454" s="236"/>
      <c r="AF454" s="236"/>
      <c r="AG454" s="236"/>
      <c r="AH454" s="236"/>
      <c r="AI454" s="236"/>
      <c r="AJ454" s="236"/>
      <c r="AK454" s="236"/>
      <c r="AL454" s="236"/>
      <c r="AM454" s="236"/>
      <c r="AN454" s="236"/>
      <c r="AO454" s="236"/>
      <c r="AP454" s="236"/>
      <c r="AQ454" s="236"/>
      <c r="AR454" s="236"/>
      <c r="AS454" s="236"/>
      <c r="AT454" s="236"/>
      <c r="AU454" s="236"/>
    </row>
    <row r="455" spans="1:47" ht="15.75" customHeight="1">
      <c r="A455" s="236"/>
      <c r="B455" s="541"/>
      <c r="C455" s="542"/>
      <c r="D455" s="542"/>
      <c r="E455" s="236"/>
      <c r="F455" s="236"/>
      <c r="G455" s="236"/>
      <c r="H455" s="236"/>
      <c r="I455" s="236"/>
      <c r="J455" s="533"/>
      <c r="K455" s="236"/>
      <c r="L455" s="533"/>
      <c r="M455" s="236"/>
      <c r="N455" s="236"/>
      <c r="O455" s="236"/>
      <c r="P455" s="236"/>
      <c r="Q455" s="228"/>
      <c r="R455" s="162"/>
      <c r="S455" s="162"/>
      <c r="T455" s="162"/>
      <c r="U455" s="162"/>
      <c r="V455" s="162"/>
      <c r="W455" s="162"/>
      <c r="X455" s="162"/>
      <c r="Y455" s="162"/>
      <c r="Z455" s="162"/>
      <c r="AA455" s="236"/>
      <c r="AB455" s="236"/>
      <c r="AC455" s="236"/>
      <c r="AD455" s="236"/>
      <c r="AE455" s="236"/>
      <c r="AF455" s="236"/>
      <c r="AG455" s="236"/>
      <c r="AH455" s="236"/>
      <c r="AI455" s="236"/>
      <c r="AJ455" s="236"/>
      <c r="AK455" s="236"/>
      <c r="AL455" s="236"/>
      <c r="AM455" s="236"/>
      <c r="AN455" s="236"/>
      <c r="AO455" s="236"/>
      <c r="AP455" s="236"/>
      <c r="AQ455" s="236"/>
      <c r="AR455" s="236"/>
      <c r="AS455" s="236"/>
      <c r="AT455" s="236"/>
      <c r="AU455" s="236"/>
    </row>
    <row r="456" spans="1:47" ht="15.75" customHeight="1">
      <c r="A456" s="236"/>
      <c r="B456" s="541"/>
      <c r="C456" s="542"/>
      <c r="D456" s="542"/>
      <c r="E456" s="236"/>
      <c r="F456" s="236"/>
      <c r="G456" s="236"/>
      <c r="H456" s="236"/>
      <c r="I456" s="236"/>
      <c r="J456" s="533"/>
      <c r="K456" s="236"/>
      <c r="L456" s="533"/>
      <c r="M456" s="236"/>
      <c r="N456" s="236"/>
      <c r="O456" s="236"/>
      <c r="P456" s="236"/>
      <c r="Q456" s="228"/>
      <c r="R456" s="162"/>
      <c r="S456" s="162"/>
      <c r="T456" s="162"/>
      <c r="U456" s="162"/>
      <c r="V456" s="162"/>
      <c r="W456" s="162"/>
      <c r="X456" s="162"/>
      <c r="Y456" s="162"/>
      <c r="Z456" s="162"/>
      <c r="AA456" s="236"/>
      <c r="AB456" s="236"/>
      <c r="AC456" s="236"/>
      <c r="AD456" s="236"/>
      <c r="AE456" s="236"/>
      <c r="AF456" s="236"/>
      <c r="AG456" s="236"/>
      <c r="AH456" s="236"/>
      <c r="AI456" s="236"/>
      <c r="AJ456" s="236"/>
      <c r="AK456" s="236"/>
      <c r="AL456" s="236"/>
      <c r="AM456" s="236"/>
      <c r="AN456" s="236"/>
      <c r="AO456" s="236"/>
      <c r="AP456" s="236"/>
      <c r="AQ456" s="236"/>
      <c r="AR456" s="236"/>
      <c r="AS456" s="236"/>
      <c r="AT456" s="236"/>
      <c r="AU456" s="236"/>
    </row>
    <row r="457" spans="1:47" ht="15.75" customHeight="1">
      <c r="A457" s="236"/>
      <c r="B457" s="541"/>
      <c r="C457" s="542"/>
      <c r="D457" s="542"/>
      <c r="E457" s="236"/>
      <c r="F457" s="236"/>
      <c r="G457" s="236"/>
      <c r="H457" s="236"/>
      <c r="I457" s="236"/>
      <c r="J457" s="533"/>
      <c r="K457" s="236"/>
      <c r="L457" s="533"/>
      <c r="M457" s="236"/>
      <c r="N457" s="236"/>
      <c r="O457" s="236"/>
      <c r="P457" s="236"/>
      <c r="Q457" s="228"/>
      <c r="R457" s="162"/>
      <c r="S457" s="162"/>
      <c r="T457" s="162"/>
      <c r="U457" s="162"/>
      <c r="V457" s="162"/>
      <c r="W457" s="162"/>
      <c r="X457" s="162"/>
      <c r="Y457" s="162"/>
      <c r="Z457" s="162"/>
      <c r="AA457" s="236"/>
      <c r="AB457" s="236"/>
      <c r="AC457" s="236"/>
      <c r="AD457" s="236"/>
      <c r="AE457" s="236"/>
      <c r="AF457" s="236"/>
      <c r="AG457" s="236"/>
      <c r="AH457" s="236"/>
      <c r="AI457" s="236"/>
      <c r="AJ457" s="236"/>
      <c r="AK457" s="236"/>
      <c r="AL457" s="236"/>
      <c r="AM457" s="236"/>
      <c r="AN457" s="236"/>
      <c r="AO457" s="236"/>
      <c r="AP457" s="236"/>
      <c r="AQ457" s="236"/>
      <c r="AR457" s="236"/>
      <c r="AS457" s="236"/>
      <c r="AT457" s="236"/>
      <c r="AU457" s="236"/>
    </row>
    <row r="458" spans="1:47" ht="15.75" customHeight="1">
      <c r="A458" s="236"/>
      <c r="B458" s="541"/>
      <c r="C458" s="542"/>
      <c r="D458" s="542"/>
      <c r="E458" s="236"/>
      <c r="F458" s="236"/>
      <c r="G458" s="236"/>
      <c r="H458" s="236"/>
      <c r="I458" s="236"/>
      <c r="J458" s="533"/>
      <c r="K458" s="236"/>
      <c r="L458" s="533"/>
      <c r="M458" s="236"/>
      <c r="N458" s="236"/>
      <c r="O458" s="236"/>
      <c r="P458" s="236"/>
      <c r="Q458" s="228"/>
      <c r="R458" s="162"/>
      <c r="S458" s="162"/>
      <c r="T458" s="162"/>
      <c r="U458" s="162"/>
      <c r="V458" s="162"/>
      <c r="W458" s="162"/>
      <c r="X458" s="162"/>
      <c r="Y458" s="162"/>
      <c r="Z458" s="162"/>
      <c r="AA458" s="236"/>
      <c r="AB458" s="236"/>
      <c r="AC458" s="236"/>
      <c r="AD458" s="236"/>
      <c r="AE458" s="236"/>
      <c r="AF458" s="236"/>
      <c r="AG458" s="236"/>
      <c r="AH458" s="236"/>
      <c r="AI458" s="236"/>
      <c r="AJ458" s="236"/>
      <c r="AK458" s="236"/>
      <c r="AL458" s="236"/>
      <c r="AM458" s="236"/>
      <c r="AN458" s="236"/>
      <c r="AO458" s="236"/>
      <c r="AP458" s="236"/>
      <c r="AQ458" s="236"/>
      <c r="AR458" s="236"/>
      <c r="AS458" s="236"/>
      <c r="AT458" s="236"/>
      <c r="AU458" s="236"/>
    </row>
    <row r="459" spans="1:47" ht="15.75" customHeight="1">
      <c r="A459" s="236"/>
      <c r="B459" s="541"/>
      <c r="C459" s="542"/>
      <c r="D459" s="542"/>
      <c r="E459" s="236"/>
      <c r="F459" s="236"/>
      <c r="G459" s="236"/>
      <c r="H459" s="236"/>
      <c r="I459" s="236"/>
      <c r="J459" s="533"/>
      <c r="K459" s="236"/>
      <c r="L459" s="533"/>
      <c r="M459" s="236"/>
      <c r="N459" s="236"/>
      <c r="O459" s="236"/>
      <c r="P459" s="236"/>
      <c r="Q459" s="228"/>
      <c r="R459" s="162"/>
      <c r="S459" s="162"/>
      <c r="T459" s="162"/>
      <c r="U459" s="162"/>
      <c r="V459" s="162"/>
      <c r="W459" s="162"/>
      <c r="X459" s="162"/>
      <c r="Y459" s="162"/>
      <c r="Z459" s="162"/>
      <c r="AA459" s="236"/>
      <c r="AB459" s="236"/>
      <c r="AC459" s="236"/>
      <c r="AD459" s="236"/>
      <c r="AE459" s="236"/>
      <c r="AF459" s="236"/>
      <c r="AG459" s="236"/>
      <c r="AH459" s="236"/>
      <c r="AI459" s="236"/>
      <c r="AJ459" s="236"/>
      <c r="AK459" s="236"/>
      <c r="AL459" s="236"/>
      <c r="AM459" s="236"/>
      <c r="AN459" s="236"/>
      <c r="AO459" s="236"/>
      <c r="AP459" s="236"/>
      <c r="AQ459" s="236"/>
      <c r="AR459" s="236"/>
      <c r="AS459" s="236"/>
      <c r="AT459" s="236"/>
      <c r="AU459" s="236"/>
    </row>
    <row r="460" spans="1:47" ht="15.75" customHeight="1">
      <c r="A460" s="236"/>
      <c r="B460" s="541"/>
      <c r="C460" s="542"/>
      <c r="D460" s="542"/>
      <c r="E460" s="236"/>
      <c r="F460" s="236"/>
      <c r="G460" s="236"/>
      <c r="H460" s="236"/>
      <c r="I460" s="236"/>
      <c r="J460" s="533"/>
      <c r="K460" s="236"/>
      <c r="L460" s="533"/>
      <c r="M460" s="236"/>
      <c r="N460" s="236"/>
      <c r="O460" s="236"/>
      <c r="P460" s="236"/>
      <c r="Q460" s="228"/>
      <c r="R460" s="162"/>
      <c r="S460" s="162"/>
      <c r="T460" s="162"/>
      <c r="U460" s="162"/>
      <c r="V460" s="162"/>
      <c r="W460" s="162"/>
      <c r="X460" s="162"/>
      <c r="Y460" s="162"/>
      <c r="Z460" s="162"/>
      <c r="AA460" s="236"/>
      <c r="AB460" s="236"/>
      <c r="AC460" s="236"/>
      <c r="AD460" s="236"/>
      <c r="AE460" s="236"/>
      <c r="AF460" s="236"/>
      <c r="AG460" s="236"/>
      <c r="AH460" s="236"/>
      <c r="AI460" s="236"/>
      <c r="AJ460" s="236"/>
      <c r="AK460" s="236"/>
      <c r="AL460" s="236"/>
      <c r="AM460" s="236"/>
      <c r="AN460" s="236"/>
      <c r="AO460" s="236"/>
      <c r="AP460" s="236"/>
      <c r="AQ460" s="236"/>
      <c r="AR460" s="236"/>
      <c r="AS460" s="236"/>
      <c r="AT460" s="236"/>
      <c r="AU460" s="236"/>
    </row>
    <row r="461" spans="1:47" ht="15.75" customHeight="1">
      <c r="A461" s="236"/>
      <c r="B461" s="541"/>
      <c r="C461" s="542"/>
      <c r="D461" s="542"/>
      <c r="E461" s="236"/>
      <c r="F461" s="236"/>
      <c r="G461" s="236"/>
      <c r="H461" s="236"/>
      <c r="I461" s="236"/>
      <c r="J461" s="533"/>
      <c r="K461" s="236"/>
      <c r="L461" s="533"/>
      <c r="M461" s="236"/>
      <c r="N461" s="236"/>
      <c r="O461" s="236"/>
      <c r="P461" s="236"/>
      <c r="Q461" s="228"/>
      <c r="R461" s="162"/>
      <c r="S461" s="162"/>
      <c r="T461" s="162"/>
      <c r="U461" s="162"/>
      <c r="V461" s="162"/>
      <c r="W461" s="162"/>
      <c r="X461" s="162"/>
      <c r="Y461" s="162"/>
      <c r="Z461" s="162"/>
      <c r="AA461" s="236"/>
      <c r="AB461" s="236"/>
      <c r="AC461" s="236"/>
      <c r="AD461" s="236"/>
      <c r="AE461" s="236"/>
      <c r="AF461" s="236"/>
      <c r="AG461" s="236"/>
      <c r="AH461" s="236"/>
      <c r="AI461" s="236"/>
      <c r="AJ461" s="236"/>
      <c r="AK461" s="236"/>
      <c r="AL461" s="236"/>
      <c r="AM461" s="236"/>
      <c r="AN461" s="236"/>
      <c r="AO461" s="236"/>
      <c r="AP461" s="236"/>
      <c r="AQ461" s="236"/>
      <c r="AR461" s="236"/>
      <c r="AS461" s="236"/>
      <c r="AT461" s="236"/>
      <c r="AU461" s="236"/>
    </row>
    <row r="462" spans="1:47" ht="15.75" customHeight="1">
      <c r="A462" s="236"/>
      <c r="B462" s="541"/>
      <c r="C462" s="542"/>
      <c r="D462" s="542"/>
      <c r="E462" s="236"/>
      <c r="F462" s="236"/>
      <c r="G462" s="236"/>
      <c r="H462" s="236"/>
      <c r="I462" s="236"/>
      <c r="J462" s="533"/>
      <c r="K462" s="236"/>
      <c r="L462" s="533"/>
      <c r="M462" s="236"/>
      <c r="N462" s="236"/>
      <c r="O462" s="236"/>
      <c r="P462" s="236"/>
      <c r="Q462" s="228"/>
      <c r="R462" s="162"/>
      <c r="S462" s="162"/>
      <c r="T462" s="162"/>
      <c r="U462" s="162"/>
      <c r="V462" s="162"/>
      <c r="W462" s="162"/>
      <c r="X462" s="162"/>
      <c r="Y462" s="162"/>
      <c r="Z462" s="162"/>
      <c r="AA462" s="236"/>
      <c r="AB462" s="236"/>
      <c r="AC462" s="236"/>
      <c r="AD462" s="236"/>
      <c r="AE462" s="236"/>
      <c r="AF462" s="236"/>
      <c r="AG462" s="236"/>
      <c r="AH462" s="236"/>
      <c r="AI462" s="236"/>
      <c r="AJ462" s="236"/>
      <c r="AK462" s="236"/>
      <c r="AL462" s="236"/>
      <c r="AM462" s="236"/>
      <c r="AN462" s="236"/>
      <c r="AO462" s="236"/>
      <c r="AP462" s="236"/>
      <c r="AQ462" s="236"/>
      <c r="AR462" s="236"/>
      <c r="AS462" s="236"/>
      <c r="AT462" s="236"/>
      <c r="AU462" s="236"/>
    </row>
    <row r="463" spans="1:47" ht="15.75" customHeight="1">
      <c r="A463" s="236"/>
      <c r="B463" s="541"/>
      <c r="C463" s="542"/>
      <c r="D463" s="542"/>
      <c r="E463" s="236"/>
      <c r="F463" s="236"/>
      <c r="G463" s="236"/>
      <c r="H463" s="236"/>
      <c r="I463" s="236"/>
      <c r="J463" s="533"/>
      <c r="K463" s="236"/>
      <c r="L463" s="533"/>
      <c r="M463" s="236"/>
      <c r="N463" s="236"/>
      <c r="O463" s="236"/>
      <c r="P463" s="236"/>
      <c r="Q463" s="228"/>
      <c r="R463" s="162"/>
      <c r="S463" s="162"/>
      <c r="T463" s="162"/>
      <c r="U463" s="162"/>
      <c r="V463" s="162"/>
      <c r="W463" s="162"/>
      <c r="X463" s="162"/>
      <c r="Y463" s="162"/>
      <c r="Z463" s="162"/>
      <c r="AA463" s="236"/>
      <c r="AB463" s="236"/>
      <c r="AC463" s="236"/>
      <c r="AD463" s="236"/>
      <c r="AE463" s="236"/>
      <c r="AF463" s="236"/>
      <c r="AG463" s="236"/>
      <c r="AH463" s="236"/>
      <c r="AI463" s="236"/>
      <c r="AJ463" s="236"/>
      <c r="AK463" s="236"/>
      <c r="AL463" s="236"/>
      <c r="AM463" s="236"/>
      <c r="AN463" s="236"/>
      <c r="AO463" s="236"/>
      <c r="AP463" s="236"/>
      <c r="AQ463" s="236"/>
      <c r="AR463" s="236"/>
      <c r="AS463" s="236"/>
      <c r="AT463" s="236"/>
      <c r="AU463" s="236"/>
    </row>
    <row r="464" spans="1:47" ht="15.75" customHeight="1">
      <c r="A464" s="236"/>
      <c r="B464" s="541"/>
      <c r="C464" s="542"/>
      <c r="D464" s="542"/>
      <c r="E464" s="236"/>
      <c r="F464" s="236"/>
      <c r="G464" s="236"/>
      <c r="H464" s="236"/>
      <c r="I464" s="236"/>
      <c r="J464" s="533"/>
      <c r="K464" s="236"/>
      <c r="L464" s="533"/>
      <c r="M464" s="236"/>
      <c r="N464" s="236"/>
      <c r="O464" s="236"/>
      <c r="P464" s="236"/>
      <c r="Q464" s="228"/>
      <c r="R464" s="162"/>
      <c r="S464" s="162"/>
      <c r="T464" s="162"/>
      <c r="U464" s="162"/>
      <c r="V464" s="162"/>
      <c r="W464" s="162"/>
      <c r="X464" s="162"/>
      <c r="Y464" s="162"/>
      <c r="Z464" s="162"/>
      <c r="AA464" s="236"/>
      <c r="AB464" s="236"/>
      <c r="AC464" s="236"/>
      <c r="AD464" s="236"/>
      <c r="AE464" s="236"/>
      <c r="AF464" s="236"/>
      <c r="AG464" s="236"/>
      <c r="AH464" s="236"/>
      <c r="AI464" s="236"/>
      <c r="AJ464" s="236"/>
      <c r="AK464" s="236"/>
      <c r="AL464" s="236"/>
      <c r="AM464" s="236"/>
      <c r="AN464" s="236"/>
      <c r="AO464" s="236"/>
      <c r="AP464" s="236"/>
      <c r="AQ464" s="236"/>
      <c r="AR464" s="236"/>
      <c r="AS464" s="236"/>
      <c r="AT464" s="236"/>
      <c r="AU464" s="236"/>
    </row>
    <row r="465" spans="1:47" ht="15.75" customHeight="1">
      <c r="A465" s="236"/>
      <c r="B465" s="541"/>
      <c r="C465" s="542"/>
      <c r="D465" s="542"/>
      <c r="E465" s="236"/>
      <c r="F465" s="236"/>
      <c r="G465" s="236"/>
      <c r="H465" s="236"/>
      <c r="I465" s="236"/>
      <c r="J465" s="533"/>
      <c r="K465" s="236"/>
      <c r="L465" s="533"/>
      <c r="M465" s="236"/>
      <c r="N465" s="236"/>
      <c r="O465" s="236"/>
      <c r="P465" s="236"/>
      <c r="Q465" s="228"/>
      <c r="R465" s="162"/>
      <c r="S465" s="162"/>
      <c r="T465" s="162"/>
      <c r="U465" s="162"/>
      <c r="V465" s="162"/>
      <c r="W465" s="162"/>
      <c r="X465" s="162"/>
      <c r="Y465" s="162"/>
      <c r="Z465" s="162"/>
      <c r="AA465" s="236"/>
      <c r="AB465" s="236"/>
      <c r="AC465" s="236"/>
      <c r="AD465" s="236"/>
      <c r="AE465" s="236"/>
      <c r="AF465" s="236"/>
      <c r="AG465" s="236"/>
      <c r="AH465" s="236"/>
      <c r="AI465" s="236"/>
      <c r="AJ465" s="236"/>
      <c r="AK465" s="236"/>
      <c r="AL465" s="236"/>
      <c r="AM465" s="236"/>
      <c r="AN465" s="236"/>
      <c r="AO465" s="236"/>
      <c r="AP465" s="236"/>
      <c r="AQ465" s="236"/>
      <c r="AR465" s="236"/>
      <c r="AS465" s="236"/>
      <c r="AT465" s="236"/>
      <c r="AU465" s="236"/>
    </row>
    <row r="466" spans="1:47" ht="15.75" customHeight="1">
      <c r="A466" s="236"/>
      <c r="B466" s="541"/>
      <c r="C466" s="542"/>
      <c r="D466" s="542"/>
      <c r="E466" s="236"/>
      <c r="F466" s="236"/>
      <c r="G466" s="236"/>
      <c r="H466" s="236"/>
      <c r="I466" s="236"/>
      <c r="J466" s="533"/>
      <c r="K466" s="236"/>
      <c r="L466" s="533"/>
      <c r="M466" s="236"/>
      <c r="N466" s="236"/>
      <c r="O466" s="236"/>
      <c r="P466" s="236"/>
      <c r="Q466" s="228"/>
      <c r="R466" s="162"/>
      <c r="S466" s="162"/>
      <c r="T466" s="162"/>
      <c r="U466" s="162"/>
      <c r="V466" s="162"/>
      <c r="W466" s="162"/>
      <c r="X466" s="162"/>
      <c r="Y466" s="162"/>
      <c r="Z466" s="162"/>
      <c r="AA466" s="236"/>
      <c r="AB466" s="236"/>
      <c r="AC466" s="236"/>
      <c r="AD466" s="236"/>
      <c r="AE466" s="236"/>
      <c r="AF466" s="236"/>
      <c r="AG466" s="236"/>
      <c r="AH466" s="236"/>
      <c r="AI466" s="236"/>
      <c r="AJ466" s="236"/>
      <c r="AK466" s="236"/>
      <c r="AL466" s="236"/>
      <c r="AM466" s="236"/>
      <c r="AN466" s="236"/>
      <c r="AO466" s="236"/>
      <c r="AP466" s="236"/>
      <c r="AQ466" s="236"/>
      <c r="AR466" s="236"/>
      <c r="AS466" s="236"/>
      <c r="AT466" s="236"/>
      <c r="AU466" s="236"/>
    </row>
    <row r="467" spans="1:47" ht="15.75" customHeight="1">
      <c r="A467" s="236"/>
      <c r="B467" s="541"/>
      <c r="C467" s="542"/>
      <c r="D467" s="542"/>
      <c r="E467" s="236"/>
      <c r="F467" s="236"/>
      <c r="G467" s="236"/>
      <c r="H467" s="236"/>
      <c r="I467" s="236"/>
      <c r="J467" s="533"/>
      <c r="K467" s="236"/>
      <c r="L467" s="533"/>
      <c r="M467" s="236"/>
      <c r="N467" s="236"/>
      <c r="O467" s="236"/>
      <c r="P467" s="236"/>
      <c r="Q467" s="228"/>
      <c r="R467" s="162"/>
      <c r="S467" s="162"/>
      <c r="T467" s="162"/>
      <c r="U467" s="162"/>
      <c r="V467" s="162"/>
      <c r="W467" s="162"/>
      <c r="X467" s="162"/>
      <c r="Y467" s="162"/>
      <c r="Z467" s="162"/>
      <c r="AA467" s="236"/>
      <c r="AB467" s="236"/>
      <c r="AC467" s="236"/>
      <c r="AD467" s="236"/>
      <c r="AE467" s="236"/>
      <c r="AF467" s="236"/>
      <c r="AG467" s="236"/>
      <c r="AH467" s="236"/>
      <c r="AI467" s="236"/>
      <c r="AJ467" s="236"/>
      <c r="AK467" s="236"/>
      <c r="AL467" s="236"/>
      <c r="AM467" s="236"/>
      <c r="AN467" s="236"/>
      <c r="AO467" s="236"/>
      <c r="AP467" s="236"/>
      <c r="AQ467" s="236"/>
      <c r="AR467" s="236"/>
      <c r="AS467" s="236"/>
      <c r="AT467" s="236"/>
      <c r="AU467" s="236"/>
    </row>
    <row r="468" spans="1:47" ht="15.75" customHeight="1">
      <c r="A468" s="236"/>
      <c r="B468" s="541"/>
      <c r="C468" s="542"/>
      <c r="D468" s="542"/>
      <c r="E468" s="236"/>
      <c r="F468" s="236"/>
      <c r="G468" s="236"/>
      <c r="H468" s="236"/>
      <c r="I468" s="236"/>
      <c r="J468" s="533"/>
      <c r="K468" s="236"/>
      <c r="L468" s="533"/>
      <c r="M468" s="236"/>
      <c r="N468" s="236"/>
      <c r="O468" s="236"/>
      <c r="P468" s="236"/>
      <c r="Q468" s="228"/>
      <c r="R468" s="162"/>
      <c r="S468" s="162"/>
      <c r="T468" s="162"/>
      <c r="U468" s="162"/>
      <c r="V468" s="162"/>
      <c r="W468" s="162"/>
      <c r="X468" s="162"/>
      <c r="Y468" s="162"/>
      <c r="Z468" s="162"/>
      <c r="AA468" s="236"/>
      <c r="AB468" s="236"/>
      <c r="AC468" s="236"/>
      <c r="AD468" s="236"/>
      <c r="AE468" s="236"/>
      <c r="AF468" s="236"/>
      <c r="AG468" s="236"/>
      <c r="AH468" s="236"/>
      <c r="AI468" s="236"/>
      <c r="AJ468" s="236"/>
      <c r="AK468" s="236"/>
      <c r="AL468" s="236"/>
      <c r="AM468" s="236"/>
      <c r="AN468" s="236"/>
      <c r="AO468" s="236"/>
      <c r="AP468" s="236"/>
      <c r="AQ468" s="236"/>
      <c r="AR468" s="236"/>
      <c r="AS468" s="236"/>
      <c r="AT468" s="236"/>
      <c r="AU468" s="236"/>
    </row>
    <row r="469" spans="1:47" ht="15.75" customHeight="1">
      <c r="A469" s="236"/>
      <c r="B469" s="541"/>
      <c r="C469" s="542"/>
      <c r="D469" s="542"/>
      <c r="E469" s="236"/>
      <c r="F469" s="236"/>
      <c r="G469" s="236"/>
      <c r="H469" s="236"/>
      <c r="I469" s="236"/>
      <c r="J469" s="533"/>
      <c r="K469" s="236"/>
      <c r="L469" s="533"/>
      <c r="M469" s="236"/>
      <c r="N469" s="236"/>
      <c r="O469" s="236"/>
      <c r="P469" s="236"/>
      <c r="Q469" s="228"/>
      <c r="R469" s="162"/>
      <c r="S469" s="162"/>
      <c r="T469" s="162"/>
      <c r="U469" s="162"/>
      <c r="V469" s="162"/>
      <c r="W469" s="162"/>
      <c r="X469" s="162"/>
      <c r="Y469" s="162"/>
      <c r="Z469" s="162"/>
      <c r="AA469" s="236"/>
      <c r="AB469" s="236"/>
      <c r="AC469" s="236"/>
      <c r="AD469" s="236"/>
      <c r="AE469" s="236"/>
      <c r="AF469" s="236"/>
      <c r="AG469" s="236"/>
      <c r="AH469" s="236"/>
      <c r="AI469" s="236"/>
      <c r="AJ469" s="236"/>
      <c r="AK469" s="236"/>
      <c r="AL469" s="236"/>
      <c r="AM469" s="236"/>
      <c r="AN469" s="236"/>
      <c r="AO469" s="236"/>
      <c r="AP469" s="236"/>
      <c r="AQ469" s="236"/>
      <c r="AR469" s="236"/>
      <c r="AS469" s="236"/>
      <c r="AT469" s="236"/>
      <c r="AU469" s="236"/>
    </row>
    <row r="470" spans="1:47" ht="15.75" customHeight="1">
      <c r="A470" s="236"/>
      <c r="B470" s="541"/>
      <c r="C470" s="542"/>
      <c r="D470" s="542"/>
      <c r="E470" s="236"/>
      <c r="F470" s="236"/>
      <c r="G470" s="236"/>
      <c r="H470" s="236"/>
      <c r="I470" s="236"/>
      <c r="J470" s="533"/>
      <c r="K470" s="236"/>
      <c r="L470" s="533"/>
      <c r="M470" s="236"/>
      <c r="N470" s="236"/>
      <c r="O470" s="236"/>
      <c r="P470" s="236"/>
      <c r="Q470" s="228"/>
      <c r="R470" s="162"/>
      <c r="S470" s="162"/>
      <c r="T470" s="162"/>
      <c r="U470" s="162"/>
      <c r="V470" s="162"/>
      <c r="W470" s="162"/>
      <c r="X470" s="162"/>
      <c r="Y470" s="162"/>
      <c r="Z470" s="162"/>
      <c r="AA470" s="236"/>
      <c r="AB470" s="236"/>
      <c r="AC470" s="236"/>
      <c r="AD470" s="236"/>
      <c r="AE470" s="236"/>
      <c r="AF470" s="236"/>
      <c r="AG470" s="236"/>
      <c r="AH470" s="236"/>
      <c r="AI470" s="236"/>
      <c r="AJ470" s="236"/>
      <c r="AK470" s="236"/>
      <c r="AL470" s="236"/>
      <c r="AM470" s="236"/>
      <c r="AN470" s="236"/>
      <c r="AO470" s="236"/>
      <c r="AP470" s="236"/>
      <c r="AQ470" s="236"/>
      <c r="AR470" s="236"/>
      <c r="AS470" s="236"/>
      <c r="AT470" s="236"/>
      <c r="AU470" s="236"/>
    </row>
    <row r="471" spans="1:47" ht="15.75" customHeight="1">
      <c r="A471" s="236"/>
      <c r="B471" s="541"/>
      <c r="C471" s="542"/>
      <c r="D471" s="542"/>
      <c r="E471" s="236"/>
      <c r="F471" s="236"/>
      <c r="G471" s="236"/>
      <c r="H471" s="236"/>
      <c r="I471" s="236"/>
      <c r="J471" s="533"/>
      <c r="K471" s="236"/>
      <c r="L471" s="533"/>
      <c r="M471" s="236"/>
      <c r="N471" s="236"/>
      <c r="O471" s="236"/>
      <c r="P471" s="236"/>
      <c r="Q471" s="228"/>
      <c r="R471" s="162"/>
      <c r="S471" s="162"/>
      <c r="T471" s="162"/>
      <c r="U471" s="162"/>
      <c r="V471" s="162"/>
      <c r="W471" s="162"/>
      <c r="X471" s="162"/>
      <c r="Y471" s="162"/>
      <c r="Z471" s="162"/>
      <c r="AA471" s="236"/>
      <c r="AB471" s="236"/>
      <c r="AC471" s="236"/>
      <c r="AD471" s="236"/>
      <c r="AE471" s="236"/>
      <c r="AF471" s="236"/>
      <c r="AG471" s="236"/>
      <c r="AH471" s="236"/>
      <c r="AI471" s="236"/>
      <c r="AJ471" s="236"/>
      <c r="AK471" s="236"/>
      <c r="AL471" s="236"/>
      <c r="AM471" s="236"/>
      <c r="AN471" s="236"/>
      <c r="AO471" s="236"/>
      <c r="AP471" s="236"/>
      <c r="AQ471" s="236"/>
      <c r="AR471" s="236"/>
      <c r="AS471" s="236"/>
      <c r="AT471" s="236"/>
      <c r="AU471" s="236"/>
    </row>
    <row r="472" spans="1:47" ht="15.75" customHeight="1">
      <c r="A472" s="236"/>
      <c r="B472" s="541"/>
      <c r="C472" s="542"/>
      <c r="D472" s="542"/>
      <c r="E472" s="236"/>
      <c r="F472" s="236"/>
      <c r="G472" s="236"/>
      <c r="H472" s="236"/>
      <c r="I472" s="236"/>
      <c r="J472" s="533"/>
      <c r="K472" s="236"/>
      <c r="L472" s="533"/>
      <c r="M472" s="236"/>
      <c r="N472" s="236"/>
      <c r="O472" s="236"/>
      <c r="P472" s="236"/>
      <c r="Q472" s="228"/>
      <c r="R472" s="162"/>
      <c r="S472" s="162"/>
      <c r="T472" s="162"/>
      <c r="U472" s="162"/>
      <c r="V472" s="162"/>
      <c r="W472" s="162"/>
      <c r="X472" s="162"/>
      <c r="Y472" s="162"/>
      <c r="Z472" s="162"/>
      <c r="AA472" s="236"/>
      <c r="AB472" s="236"/>
      <c r="AC472" s="236"/>
      <c r="AD472" s="236"/>
      <c r="AE472" s="236"/>
      <c r="AF472" s="236"/>
      <c r="AG472" s="236"/>
      <c r="AH472" s="236"/>
      <c r="AI472" s="236"/>
      <c r="AJ472" s="236"/>
      <c r="AK472" s="236"/>
      <c r="AL472" s="236"/>
      <c r="AM472" s="236"/>
      <c r="AN472" s="236"/>
      <c r="AO472" s="236"/>
      <c r="AP472" s="236"/>
      <c r="AQ472" s="236"/>
      <c r="AR472" s="236"/>
      <c r="AS472" s="236"/>
      <c r="AT472" s="236"/>
      <c r="AU472" s="236"/>
    </row>
    <row r="473" spans="1:47" ht="15.75" customHeight="1">
      <c r="A473" s="236"/>
      <c r="B473" s="541"/>
      <c r="C473" s="542"/>
      <c r="D473" s="542"/>
      <c r="E473" s="236"/>
      <c r="F473" s="236"/>
      <c r="G473" s="236"/>
      <c r="H473" s="236"/>
      <c r="I473" s="236"/>
      <c r="J473" s="533"/>
      <c r="K473" s="236"/>
      <c r="L473" s="533"/>
      <c r="M473" s="236"/>
      <c r="N473" s="236"/>
      <c r="O473" s="236"/>
      <c r="P473" s="236"/>
      <c r="Q473" s="228"/>
      <c r="R473" s="162"/>
      <c r="S473" s="162"/>
      <c r="T473" s="162"/>
      <c r="U473" s="162"/>
      <c r="V473" s="162"/>
      <c r="W473" s="162"/>
      <c r="X473" s="162"/>
      <c r="Y473" s="162"/>
      <c r="Z473" s="162"/>
      <c r="AA473" s="236"/>
      <c r="AB473" s="236"/>
      <c r="AC473" s="236"/>
      <c r="AD473" s="236"/>
      <c r="AE473" s="236"/>
      <c r="AF473" s="236"/>
      <c r="AG473" s="236"/>
      <c r="AH473" s="236"/>
      <c r="AI473" s="236"/>
      <c r="AJ473" s="236"/>
      <c r="AK473" s="236"/>
      <c r="AL473" s="236"/>
      <c r="AM473" s="236"/>
      <c r="AN473" s="236"/>
      <c r="AO473" s="236"/>
      <c r="AP473" s="236"/>
      <c r="AQ473" s="236"/>
      <c r="AR473" s="236"/>
      <c r="AS473" s="236"/>
      <c r="AT473" s="236"/>
      <c r="AU473" s="236"/>
    </row>
    <row r="474" spans="1:47" ht="15.75" customHeight="1">
      <c r="A474" s="236"/>
      <c r="B474" s="541"/>
      <c r="C474" s="542"/>
      <c r="D474" s="542"/>
      <c r="E474" s="236"/>
      <c r="F474" s="236"/>
      <c r="G474" s="236"/>
      <c r="H474" s="236"/>
      <c r="I474" s="236"/>
      <c r="J474" s="533"/>
      <c r="K474" s="236"/>
      <c r="L474" s="533"/>
      <c r="M474" s="236"/>
      <c r="N474" s="236"/>
      <c r="O474" s="236"/>
      <c r="P474" s="236"/>
      <c r="Q474" s="228"/>
      <c r="R474" s="162"/>
      <c r="S474" s="162"/>
      <c r="T474" s="162"/>
      <c r="U474" s="162"/>
      <c r="V474" s="162"/>
      <c r="W474" s="162"/>
      <c r="X474" s="162"/>
      <c r="Y474" s="162"/>
      <c r="Z474" s="162"/>
      <c r="AA474" s="236"/>
      <c r="AB474" s="236"/>
      <c r="AC474" s="236"/>
      <c r="AD474" s="236"/>
      <c r="AE474" s="236"/>
      <c r="AF474" s="236"/>
      <c r="AG474" s="236"/>
      <c r="AH474" s="236"/>
      <c r="AI474" s="236"/>
      <c r="AJ474" s="236"/>
      <c r="AK474" s="236"/>
      <c r="AL474" s="236"/>
      <c r="AM474" s="236"/>
      <c r="AN474" s="236"/>
      <c r="AO474" s="236"/>
      <c r="AP474" s="236"/>
      <c r="AQ474" s="236"/>
      <c r="AR474" s="236"/>
      <c r="AS474" s="236"/>
      <c r="AT474" s="236"/>
      <c r="AU474" s="236"/>
    </row>
    <row r="475" spans="1:47" ht="15.75" customHeight="1">
      <c r="A475" s="236"/>
      <c r="B475" s="541"/>
      <c r="C475" s="542"/>
      <c r="D475" s="542"/>
      <c r="E475" s="236"/>
      <c r="F475" s="236"/>
      <c r="G475" s="236"/>
      <c r="H475" s="236"/>
      <c r="I475" s="236"/>
      <c r="J475" s="533"/>
      <c r="K475" s="236"/>
      <c r="L475" s="533"/>
      <c r="M475" s="236"/>
      <c r="N475" s="236"/>
      <c r="O475" s="236"/>
      <c r="P475" s="236"/>
      <c r="Q475" s="228"/>
      <c r="R475" s="162"/>
      <c r="S475" s="162"/>
      <c r="T475" s="162"/>
      <c r="U475" s="162"/>
      <c r="V475" s="162"/>
      <c r="W475" s="162"/>
      <c r="X475" s="162"/>
      <c r="Y475" s="162"/>
      <c r="Z475" s="162"/>
      <c r="AA475" s="236"/>
      <c r="AB475" s="236"/>
      <c r="AC475" s="236"/>
      <c r="AD475" s="236"/>
      <c r="AE475" s="236"/>
      <c r="AF475" s="236"/>
      <c r="AG475" s="236"/>
      <c r="AH475" s="236"/>
      <c r="AI475" s="236"/>
      <c r="AJ475" s="236"/>
      <c r="AK475" s="236"/>
      <c r="AL475" s="236"/>
      <c r="AM475" s="236"/>
      <c r="AN475" s="236"/>
      <c r="AO475" s="236"/>
      <c r="AP475" s="236"/>
      <c r="AQ475" s="236"/>
      <c r="AR475" s="236"/>
      <c r="AS475" s="236"/>
      <c r="AT475" s="236"/>
      <c r="AU475" s="236"/>
    </row>
    <row r="476" spans="1:47" ht="15.75" customHeight="1">
      <c r="A476" s="236"/>
      <c r="B476" s="541"/>
      <c r="C476" s="542"/>
      <c r="D476" s="542"/>
      <c r="E476" s="236"/>
      <c r="F476" s="236"/>
      <c r="G476" s="236"/>
      <c r="H476" s="236"/>
      <c r="I476" s="236"/>
      <c r="J476" s="533"/>
      <c r="K476" s="236"/>
      <c r="L476" s="533"/>
      <c r="M476" s="236"/>
      <c r="N476" s="236"/>
      <c r="O476" s="236"/>
      <c r="P476" s="236"/>
      <c r="Q476" s="228"/>
      <c r="R476" s="162"/>
      <c r="S476" s="162"/>
      <c r="T476" s="162"/>
      <c r="U476" s="162"/>
      <c r="V476" s="162"/>
      <c r="W476" s="162"/>
      <c r="X476" s="162"/>
      <c r="Y476" s="162"/>
      <c r="Z476" s="162"/>
      <c r="AA476" s="236"/>
      <c r="AB476" s="236"/>
      <c r="AC476" s="236"/>
      <c r="AD476" s="236"/>
      <c r="AE476" s="236"/>
      <c r="AF476" s="236"/>
      <c r="AG476" s="236"/>
      <c r="AH476" s="236"/>
      <c r="AI476" s="236"/>
      <c r="AJ476" s="236"/>
      <c r="AK476" s="236"/>
      <c r="AL476" s="236"/>
      <c r="AM476" s="236"/>
      <c r="AN476" s="236"/>
      <c r="AO476" s="236"/>
      <c r="AP476" s="236"/>
      <c r="AQ476" s="236"/>
      <c r="AR476" s="236"/>
      <c r="AS476" s="236"/>
      <c r="AT476" s="236"/>
      <c r="AU476" s="236"/>
    </row>
    <row r="477" spans="1:47" ht="15.75" customHeight="1">
      <c r="A477" s="236"/>
      <c r="B477" s="541"/>
      <c r="C477" s="542"/>
      <c r="D477" s="542"/>
      <c r="E477" s="236"/>
      <c r="F477" s="236"/>
      <c r="G477" s="236"/>
      <c r="H477" s="236"/>
      <c r="I477" s="236"/>
      <c r="J477" s="533"/>
      <c r="K477" s="236"/>
      <c r="L477" s="533"/>
      <c r="M477" s="236"/>
      <c r="N477" s="236"/>
      <c r="O477" s="236"/>
      <c r="P477" s="236"/>
      <c r="Q477" s="228"/>
      <c r="R477" s="162"/>
      <c r="S477" s="162"/>
      <c r="T477" s="162"/>
      <c r="U477" s="162"/>
      <c r="V477" s="162"/>
      <c r="W477" s="162"/>
      <c r="X477" s="162"/>
      <c r="Y477" s="162"/>
      <c r="Z477" s="162"/>
      <c r="AA477" s="236"/>
      <c r="AB477" s="236"/>
      <c r="AC477" s="236"/>
      <c r="AD477" s="236"/>
      <c r="AE477" s="236"/>
      <c r="AF477" s="236"/>
      <c r="AG477" s="236"/>
      <c r="AH477" s="236"/>
      <c r="AI477" s="236"/>
      <c r="AJ477" s="236"/>
      <c r="AK477" s="236"/>
      <c r="AL477" s="236"/>
      <c r="AM477" s="236"/>
      <c r="AN477" s="236"/>
      <c r="AO477" s="236"/>
      <c r="AP477" s="236"/>
      <c r="AQ477" s="236"/>
      <c r="AR477" s="236"/>
      <c r="AS477" s="236"/>
      <c r="AT477" s="236"/>
      <c r="AU477" s="236"/>
    </row>
    <row r="478" spans="1:47" ht="15.75" customHeight="1">
      <c r="A478" s="236"/>
      <c r="B478" s="541"/>
      <c r="C478" s="542"/>
      <c r="D478" s="542"/>
      <c r="E478" s="236"/>
      <c r="F478" s="236"/>
      <c r="G478" s="236"/>
      <c r="H478" s="236"/>
      <c r="I478" s="236"/>
      <c r="J478" s="533"/>
      <c r="K478" s="236"/>
      <c r="L478" s="533"/>
      <c r="M478" s="236"/>
      <c r="N478" s="236"/>
      <c r="O478" s="236"/>
      <c r="P478" s="236"/>
      <c r="Q478" s="228"/>
      <c r="R478" s="162"/>
      <c r="S478" s="162"/>
      <c r="T478" s="162"/>
      <c r="U478" s="162"/>
      <c r="V478" s="162"/>
      <c r="W478" s="162"/>
      <c r="X478" s="162"/>
      <c r="Y478" s="162"/>
      <c r="Z478" s="162"/>
      <c r="AA478" s="236"/>
      <c r="AB478" s="236"/>
      <c r="AC478" s="236"/>
      <c r="AD478" s="236"/>
      <c r="AE478" s="236"/>
      <c r="AF478" s="236"/>
      <c r="AG478" s="236"/>
      <c r="AH478" s="236"/>
      <c r="AI478" s="236"/>
      <c r="AJ478" s="236"/>
      <c r="AK478" s="236"/>
      <c r="AL478" s="236"/>
      <c r="AM478" s="236"/>
      <c r="AN478" s="236"/>
      <c r="AO478" s="236"/>
      <c r="AP478" s="236"/>
      <c r="AQ478" s="236"/>
      <c r="AR478" s="236"/>
      <c r="AS478" s="236"/>
      <c r="AT478" s="236"/>
      <c r="AU478" s="236"/>
    </row>
    <row r="479" spans="1:47" ht="15.75" customHeight="1">
      <c r="A479" s="236"/>
      <c r="B479" s="541"/>
      <c r="C479" s="542"/>
      <c r="D479" s="542"/>
      <c r="E479" s="236"/>
      <c r="F479" s="236"/>
      <c r="G479" s="236"/>
      <c r="H479" s="236"/>
      <c r="I479" s="236"/>
      <c r="J479" s="533"/>
      <c r="K479" s="236"/>
      <c r="L479" s="533"/>
      <c r="M479" s="236"/>
      <c r="N479" s="236"/>
      <c r="O479" s="236"/>
      <c r="P479" s="236"/>
      <c r="Q479" s="228"/>
      <c r="R479" s="162"/>
      <c r="S479" s="162"/>
      <c r="T479" s="162"/>
      <c r="U479" s="162"/>
      <c r="V479" s="162"/>
      <c r="W479" s="162"/>
      <c r="X479" s="162"/>
      <c r="Y479" s="162"/>
      <c r="Z479" s="162"/>
      <c r="AA479" s="236"/>
      <c r="AB479" s="236"/>
      <c r="AC479" s="236"/>
      <c r="AD479" s="236"/>
      <c r="AE479" s="236"/>
      <c r="AF479" s="236"/>
      <c r="AG479" s="236"/>
      <c r="AH479" s="236"/>
      <c r="AI479" s="236"/>
      <c r="AJ479" s="236"/>
      <c r="AK479" s="236"/>
      <c r="AL479" s="236"/>
      <c r="AM479" s="236"/>
      <c r="AN479" s="236"/>
      <c r="AO479" s="236"/>
      <c r="AP479" s="236"/>
      <c r="AQ479" s="236"/>
      <c r="AR479" s="236"/>
      <c r="AS479" s="236"/>
      <c r="AT479" s="236"/>
      <c r="AU479" s="236"/>
    </row>
    <row r="480" spans="1:47" ht="15.75" customHeight="1">
      <c r="A480" s="236"/>
      <c r="B480" s="541"/>
      <c r="C480" s="542"/>
      <c r="D480" s="542"/>
      <c r="E480" s="236"/>
      <c r="F480" s="236"/>
      <c r="G480" s="236"/>
      <c r="H480" s="236"/>
      <c r="I480" s="236"/>
      <c r="J480" s="533"/>
      <c r="K480" s="236"/>
      <c r="L480" s="533"/>
      <c r="M480" s="236"/>
      <c r="N480" s="236"/>
      <c r="O480" s="236"/>
      <c r="P480" s="236"/>
      <c r="Q480" s="228"/>
      <c r="R480" s="162"/>
      <c r="S480" s="162"/>
      <c r="T480" s="162"/>
      <c r="U480" s="162"/>
      <c r="V480" s="162"/>
      <c r="W480" s="162"/>
      <c r="X480" s="162"/>
      <c r="Y480" s="162"/>
      <c r="Z480" s="162"/>
      <c r="AA480" s="236"/>
      <c r="AB480" s="236"/>
      <c r="AC480" s="236"/>
      <c r="AD480" s="236"/>
      <c r="AE480" s="236"/>
      <c r="AF480" s="236"/>
      <c r="AG480" s="236"/>
      <c r="AH480" s="236"/>
      <c r="AI480" s="236"/>
      <c r="AJ480" s="236"/>
      <c r="AK480" s="236"/>
      <c r="AL480" s="236"/>
      <c r="AM480" s="236"/>
      <c r="AN480" s="236"/>
      <c r="AO480" s="236"/>
      <c r="AP480" s="236"/>
      <c r="AQ480" s="236"/>
      <c r="AR480" s="236"/>
      <c r="AS480" s="236"/>
      <c r="AT480" s="236"/>
      <c r="AU480" s="236"/>
    </row>
    <row r="481" spans="1:47" ht="15.75" customHeight="1">
      <c r="A481" s="236"/>
      <c r="B481" s="541"/>
      <c r="C481" s="542"/>
      <c r="D481" s="542"/>
      <c r="E481" s="236"/>
      <c r="F481" s="236"/>
      <c r="G481" s="236"/>
      <c r="H481" s="236"/>
      <c r="I481" s="236"/>
      <c r="J481" s="533"/>
      <c r="K481" s="236"/>
      <c r="L481" s="533"/>
      <c r="M481" s="236"/>
      <c r="N481" s="236"/>
      <c r="O481" s="236"/>
      <c r="P481" s="236"/>
      <c r="Q481" s="228"/>
      <c r="R481" s="162"/>
      <c r="S481" s="162"/>
      <c r="T481" s="162"/>
      <c r="U481" s="162"/>
      <c r="V481" s="162"/>
      <c r="W481" s="162"/>
      <c r="X481" s="162"/>
      <c r="Y481" s="162"/>
      <c r="Z481" s="162"/>
      <c r="AA481" s="236"/>
      <c r="AB481" s="236"/>
      <c r="AC481" s="236"/>
      <c r="AD481" s="236"/>
      <c r="AE481" s="236"/>
      <c r="AF481" s="236"/>
      <c r="AG481" s="236"/>
      <c r="AH481" s="236"/>
      <c r="AI481" s="236"/>
      <c r="AJ481" s="236"/>
      <c r="AK481" s="236"/>
      <c r="AL481" s="236"/>
      <c r="AM481" s="236"/>
      <c r="AN481" s="236"/>
      <c r="AO481" s="236"/>
      <c r="AP481" s="236"/>
      <c r="AQ481" s="236"/>
      <c r="AR481" s="236"/>
      <c r="AS481" s="236"/>
      <c r="AT481" s="236"/>
      <c r="AU481" s="236"/>
    </row>
    <row r="482" spans="1:47" ht="15.75" customHeight="1">
      <c r="A482" s="236"/>
      <c r="B482" s="541"/>
      <c r="C482" s="542"/>
      <c r="D482" s="542"/>
      <c r="E482" s="236"/>
      <c r="F482" s="236"/>
      <c r="G482" s="236"/>
      <c r="H482" s="236"/>
      <c r="I482" s="236"/>
      <c r="J482" s="533"/>
      <c r="K482" s="236"/>
      <c r="L482" s="533"/>
      <c r="M482" s="236"/>
      <c r="N482" s="236"/>
      <c r="O482" s="236"/>
      <c r="P482" s="236"/>
      <c r="Q482" s="228"/>
      <c r="R482" s="162"/>
      <c r="S482" s="162"/>
      <c r="T482" s="162"/>
      <c r="U482" s="162"/>
      <c r="V482" s="162"/>
      <c r="W482" s="162"/>
      <c r="X482" s="162"/>
      <c r="Y482" s="162"/>
      <c r="Z482" s="162"/>
      <c r="AA482" s="236"/>
      <c r="AB482" s="236"/>
      <c r="AC482" s="236"/>
      <c r="AD482" s="236"/>
      <c r="AE482" s="236"/>
      <c r="AF482" s="236"/>
      <c r="AG482" s="236"/>
      <c r="AH482" s="236"/>
      <c r="AI482" s="236"/>
      <c r="AJ482" s="236"/>
      <c r="AK482" s="236"/>
      <c r="AL482" s="236"/>
      <c r="AM482" s="236"/>
      <c r="AN482" s="236"/>
      <c r="AO482" s="236"/>
      <c r="AP482" s="236"/>
      <c r="AQ482" s="236"/>
      <c r="AR482" s="236"/>
      <c r="AS482" s="236"/>
      <c r="AT482" s="236"/>
      <c r="AU482" s="236"/>
    </row>
    <row r="483" spans="1:47" ht="15.75" customHeight="1">
      <c r="A483" s="236"/>
      <c r="B483" s="541"/>
      <c r="C483" s="542"/>
      <c r="D483" s="542"/>
      <c r="E483" s="236"/>
      <c r="F483" s="236"/>
      <c r="G483" s="236"/>
      <c r="H483" s="236"/>
      <c r="I483" s="236"/>
      <c r="J483" s="533"/>
      <c r="K483" s="236"/>
      <c r="L483" s="533"/>
      <c r="M483" s="236"/>
      <c r="N483" s="236"/>
      <c r="O483" s="236"/>
      <c r="P483" s="236"/>
      <c r="Q483" s="228"/>
      <c r="R483" s="162"/>
      <c r="S483" s="162"/>
      <c r="T483" s="162"/>
      <c r="U483" s="162"/>
      <c r="V483" s="162"/>
      <c r="W483" s="162"/>
      <c r="X483" s="162"/>
      <c r="Y483" s="162"/>
      <c r="Z483" s="162"/>
      <c r="AA483" s="236"/>
      <c r="AB483" s="236"/>
      <c r="AC483" s="236"/>
      <c r="AD483" s="236"/>
      <c r="AE483" s="236"/>
      <c r="AF483" s="236"/>
      <c r="AG483" s="236"/>
      <c r="AH483" s="236"/>
      <c r="AI483" s="236"/>
      <c r="AJ483" s="236"/>
      <c r="AK483" s="236"/>
      <c r="AL483" s="236"/>
      <c r="AM483" s="236"/>
      <c r="AN483" s="236"/>
      <c r="AO483" s="236"/>
      <c r="AP483" s="236"/>
      <c r="AQ483" s="236"/>
      <c r="AR483" s="236"/>
      <c r="AS483" s="236"/>
      <c r="AT483" s="236"/>
      <c r="AU483" s="236"/>
    </row>
    <row r="484" spans="1:47" ht="15.75" customHeight="1">
      <c r="A484" s="236"/>
      <c r="B484" s="541"/>
      <c r="C484" s="542"/>
      <c r="D484" s="542"/>
      <c r="E484" s="236"/>
      <c r="F484" s="236"/>
      <c r="G484" s="236"/>
      <c r="H484" s="236"/>
      <c r="I484" s="236"/>
      <c r="J484" s="533"/>
      <c r="K484" s="236"/>
      <c r="L484" s="533"/>
      <c r="M484" s="236"/>
      <c r="N484" s="236"/>
      <c r="O484" s="236"/>
      <c r="P484" s="236"/>
      <c r="Q484" s="228"/>
      <c r="R484" s="162"/>
      <c r="S484" s="162"/>
      <c r="T484" s="162"/>
      <c r="U484" s="162"/>
      <c r="V484" s="162"/>
      <c r="W484" s="162"/>
      <c r="X484" s="162"/>
      <c r="Y484" s="162"/>
      <c r="Z484" s="162"/>
      <c r="AA484" s="236"/>
      <c r="AB484" s="236"/>
      <c r="AC484" s="236"/>
      <c r="AD484" s="236"/>
      <c r="AE484" s="236"/>
      <c r="AF484" s="236"/>
      <c r="AG484" s="236"/>
      <c r="AH484" s="236"/>
      <c r="AI484" s="236"/>
      <c r="AJ484" s="236"/>
      <c r="AK484" s="236"/>
      <c r="AL484" s="236"/>
      <c r="AM484" s="236"/>
      <c r="AN484" s="236"/>
      <c r="AO484" s="236"/>
      <c r="AP484" s="236"/>
      <c r="AQ484" s="236"/>
      <c r="AR484" s="236"/>
      <c r="AS484" s="236"/>
      <c r="AT484" s="236"/>
      <c r="AU484" s="236"/>
    </row>
    <row r="485" spans="1:47" ht="15.75" customHeight="1">
      <c r="A485" s="236"/>
      <c r="B485" s="541"/>
      <c r="C485" s="542"/>
      <c r="D485" s="542"/>
      <c r="E485" s="236"/>
      <c r="F485" s="236"/>
      <c r="G485" s="236"/>
      <c r="H485" s="236"/>
      <c r="I485" s="236"/>
      <c r="J485" s="533"/>
      <c r="K485" s="236"/>
      <c r="L485" s="533"/>
      <c r="M485" s="236"/>
      <c r="N485" s="236"/>
      <c r="O485" s="236"/>
      <c r="P485" s="236"/>
      <c r="Q485" s="228"/>
      <c r="R485" s="162"/>
      <c r="S485" s="162"/>
      <c r="T485" s="162"/>
      <c r="U485" s="162"/>
      <c r="V485" s="162"/>
      <c r="W485" s="162"/>
      <c r="X485" s="162"/>
      <c r="Y485" s="162"/>
      <c r="Z485" s="162"/>
      <c r="AA485" s="236"/>
      <c r="AB485" s="236"/>
      <c r="AC485" s="236"/>
      <c r="AD485" s="236"/>
      <c r="AE485" s="236"/>
      <c r="AF485" s="236"/>
      <c r="AG485" s="236"/>
      <c r="AH485" s="236"/>
      <c r="AI485" s="236"/>
      <c r="AJ485" s="236"/>
      <c r="AK485" s="236"/>
      <c r="AL485" s="236"/>
      <c r="AM485" s="236"/>
      <c r="AN485" s="236"/>
      <c r="AO485" s="236"/>
      <c r="AP485" s="236"/>
      <c r="AQ485" s="236"/>
      <c r="AR485" s="236"/>
      <c r="AS485" s="236"/>
      <c r="AT485" s="236"/>
      <c r="AU485" s="236"/>
    </row>
    <row r="486" spans="1:47" ht="15.75" customHeight="1">
      <c r="A486" s="236"/>
      <c r="B486" s="541"/>
      <c r="C486" s="542"/>
      <c r="D486" s="542"/>
      <c r="E486" s="236"/>
      <c r="F486" s="236"/>
      <c r="G486" s="236"/>
      <c r="H486" s="236"/>
      <c r="I486" s="236"/>
      <c r="J486" s="533"/>
      <c r="K486" s="236"/>
      <c r="L486" s="533"/>
      <c r="M486" s="236"/>
      <c r="N486" s="236"/>
      <c r="O486" s="236"/>
      <c r="P486" s="236"/>
      <c r="Q486" s="228"/>
      <c r="R486" s="162"/>
      <c r="S486" s="162"/>
      <c r="T486" s="162"/>
      <c r="U486" s="162"/>
      <c r="V486" s="162"/>
      <c r="W486" s="162"/>
      <c r="X486" s="162"/>
      <c r="Y486" s="162"/>
      <c r="Z486" s="162"/>
      <c r="AA486" s="236"/>
      <c r="AB486" s="236"/>
      <c r="AC486" s="236"/>
      <c r="AD486" s="236"/>
      <c r="AE486" s="236"/>
      <c r="AF486" s="236"/>
      <c r="AG486" s="236"/>
      <c r="AH486" s="236"/>
      <c r="AI486" s="236"/>
      <c r="AJ486" s="236"/>
      <c r="AK486" s="236"/>
      <c r="AL486" s="236"/>
      <c r="AM486" s="236"/>
      <c r="AN486" s="236"/>
      <c r="AO486" s="236"/>
      <c r="AP486" s="236"/>
      <c r="AQ486" s="236"/>
      <c r="AR486" s="236"/>
      <c r="AS486" s="236"/>
      <c r="AT486" s="236"/>
      <c r="AU486" s="236"/>
    </row>
    <row r="487" spans="1:47" ht="15.75" customHeight="1">
      <c r="A487" s="236"/>
      <c r="B487" s="541"/>
      <c r="C487" s="542"/>
      <c r="D487" s="542"/>
      <c r="E487" s="236"/>
      <c r="F487" s="236"/>
      <c r="G487" s="236"/>
      <c r="H487" s="236"/>
      <c r="I487" s="236"/>
      <c r="J487" s="533"/>
      <c r="K487" s="236"/>
      <c r="L487" s="533"/>
      <c r="M487" s="236"/>
      <c r="N487" s="236"/>
      <c r="O487" s="236"/>
      <c r="P487" s="236"/>
      <c r="Q487" s="228"/>
      <c r="R487" s="162"/>
      <c r="S487" s="162"/>
      <c r="T487" s="162"/>
      <c r="U487" s="162"/>
      <c r="V487" s="162"/>
      <c r="W487" s="162"/>
      <c r="X487" s="162"/>
      <c r="Y487" s="162"/>
      <c r="Z487" s="162"/>
      <c r="AA487" s="236"/>
      <c r="AB487" s="236"/>
      <c r="AC487" s="236"/>
      <c r="AD487" s="236"/>
      <c r="AE487" s="236"/>
      <c r="AF487" s="236"/>
      <c r="AG487" s="236"/>
      <c r="AH487" s="236"/>
      <c r="AI487" s="236"/>
      <c r="AJ487" s="236"/>
      <c r="AK487" s="236"/>
      <c r="AL487" s="236"/>
      <c r="AM487" s="236"/>
      <c r="AN487" s="236"/>
      <c r="AO487" s="236"/>
      <c r="AP487" s="236"/>
      <c r="AQ487" s="236"/>
      <c r="AR487" s="236"/>
      <c r="AS487" s="236"/>
      <c r="AT487" s="236"/>
      <c r="AU487" s="236"/>
    </row>
    <row r="488" spans="1:47" ht="15.75" customHeight="1">
      <c r="A488" s="236"/>
      <c r="B488" s="541"/>
      <c r="C488" s="542"/>
      <c r="D488" s="542"/>
      <c r="E488" s="236"/>
      <c r="F488" s="236"/>
      <c r="G488" s="236"/>
      <c r="H488" s="236"/>
      <c r="I488" s="236"/>
      <c r="J488" s="533"/>
      <c r="K488" s="236"/>
      <c r="L488" s="533"/>
      <c r="M488" s="236"/>
      <c r="N488" s="236"/>
      <c r="O488" s="236"/>
      <c r="P488" s="236"/>
      <c r="Q488" s="228"/>
      <c r="R488" s="162"/>
      <c r="S488" s="162"/>
      <c r="T488" s="162"/>
      <c r="U488" s="162"/>
      <c r="V488" s="162"/>
      <c r="W488" s="162"/>
      <c r="X488" s="162"/>
      <c r="Y488" s="162"/>
      <c r="Z488" s="162"/>
      <c r="AA488" s="236"/>
      <c r="AB488" s="236"/>
      <c r="AC488" s="236"/>
      <c r="AD488" s="236"/>
      <c r="AE488" s="236"/>
      <c r="AF488" s="236"/>
      <c r="AG488" s="236"/>
      <c r="AH488" s="236"/>
      <c r="AI488" s="236"/>
      <c r="AJ488" s="236"/>
      <c r="AK488" s="236"/>
      <c r="AL488" s="236"/>
      <c r="AM488" s="236"/>
      <c r="AN488" s="236"/>
      <c r="AO488" s="236"/>
      <c r="AP488" s="236"/>
      <c r="AQ488" s="236"/>
      <c r="AR488" s="236"/>
      <c r="AS488" s="236"/>
      <c r="AT488" s="236"/>
      <c r="AU488" s="236"/>
    </row>
    <row r="489" spans="1:47" ht="15.75" customHeight="1">
      <c r="A489" s="236"/>
      <c r="B489" s="541"/>
      <c r="C489" s="542"/>
      <c r="D489" s="542"/>
      <c r="E489" s="236"/>
      <c r="F489" s="236"/>
      <c r="G489" s="236"/>
      <c r="H489" s="236"/>
      <c r="I489" s="236"/>
      <c r="J489" s="533"/>
      <c r="K489" s="236"/>
      <c r="L489" s="533"/>
      <c r="M489" s="236"/>
      <c r="N489" s="236"/>
      <c r="O489" s="236"/>
      <c r="P489" s="236"/>
      <c r="Q489" s="228"/>
      <c r="R489" s="162"/>
      <c r="S489" s="162"/>
      <c r="T489" s="162"/>
      <c r="U489" s="162"/>
      <c r="V489" s="162"/>
      <c r="W489" s="162"/>
      <c r="X489" s="162"/>
      <c r="Y489" s="162"/>
      <c r="Z489" s="162"/>
      <c r="AA489" s="236"/>
      <c r="AB489" s="236"/>
      <c r="AC489" s="236"/>
      <c r="AD489" s="236"/>
      <c r="AE489" s="236"/>
      <c r="AF489" s="236"/>
      <c r="AG489" s="236"/>
      <c r="AH489" s="236"/>
      <c r="AI489" s="236"/>
      <c r="AJ489" s="236"/>
      <c r="AK489" s="236"/>
      <c r="AL489" s="236"/>
      <c r="AM489" s="236"/>
      <c r="AN489" s="236"/>
      <c r="AO489" s="236"/>
      <c r="AP489" s="236"/>
      <c r="AQ489" s="236"/>
      <c r="AR489" s="236"/>
      <c r="AS489" s="236"/>
      <c r="AT489" s="236"/>
      <c r="AU489" s="236"/>
    </row>
    <row r="490" spans="1:47" ht="15.75" customHeight="1">
      <c r="A490" s="236"/>
      <c r="B490" s="541"/>
      <c r="C490" s="542"/>
      <c r="D490" s="542"/>
      <c r="E490" s="236"/>
      <c r="F490" s="236"/>
      <c r="G490" s="236"/>
      <c r="H490" s="236"/>
      <c r="I490" s="236"/>
      <c r="J490" s="533"/>
      <c r="K490" s="236"/>
      <c r="L490" s="533"/>
      <c r="M490" s="236"/>
      <c r="N490" s="236"/>
      <c r="O490" s="236"/>
      <c r="P490" s="236"/>
      <c r="Q490" s="228"/>
      <c r="R490" s="162"/>
      <c r="S490" s="162"/>
      <c r="T490" s="162"/>
      <c r="U490" s="162"/>
      <c r="V490" s="162"/>
      <c r="W490" s="162"/>
      <c r="X490" s="162"/>
      <c r="Y490" s="162"/>
      <c r="Z490" s="162"/>
      <c r="AA490" s="236"/>
      <c r="AB490" s="236"/>
      <c r="AC490" s="236"/>
      <c r="AD490" s="236"/>
      <c r="AE490" s="236"/>
      <c r="AF490" s="236"/>
      <c r="AG490" s="236"/>
      <c r="AH490" s="236"/>
      <c r="AI490" s="236"/>
      <c r="AJ490" s="236"/>
      <c r="AK490" s="236"/>
      <c r="AL490" s="236"/>
      <c r="AM490" s="236"/>
      <c r="AN490" s="236"/>
      <c r="AO490" s="236"/>
      <c r="AP490" s="236"/>
      <c r="AQ490" s="236"/>
      <c r="AR490" s="236"/>
      <c r="AS490" s="236"/>
      <c r="AT490" s="236"/>
      <c r="AU490" s="236"/>
    </row>
    <row r="491" spans="1:47" ht="15.75" customHeight="1">
      <c r="A491" s="236"/>
      <c r="B491" s="541"/>
      <c r="C491" s="542"/>
      <c r="D491" s="542"/>
      <c r="E491" s="236"/>
      <c r="F491" s="236"/>
      <c r="G491" s="236"/>
      <c r="H491" s="236"/>
      <c r="I491" s="236"/>
      <c r="J491" s="533"/>
      <c r="K491" s="236"/>
      <c r="L491" s="533"/>
      <c r="M491" s="236"/>
      <c r="N491" s="236"/>
      <c r="O491" s="236"/>
      <c r="P491" s="236"/>
      <c r="Q491" s="228"/>
      <c r="R491" s="162"/>
      <c r="S491" s="162"/>
      <c r="T491" s="162"/>
      <c r="U491" s="162"/>
      <c r="V491" s="162"/>
      <c r="W491" s="162"/>
      <c r="X491" s="162"/>
      <c r="Y491" s="162"/>
      <c r="Z491" s="162"/>
      <c r="AA491" s="236"/>
      <c r="AB491" s="236"/>
      <c r="AC491" s="236"/>
      <c r="AD491" s="236"/>
      <c r="AE491" s="236"/>
      <c r="AF491" s="236"/>
      <c r="AG491" s="236"/>
      <c r="AH491" s="236"/>
      <c r="AI491" s="236"/>
      <c r="AJ491" s="236"/>
      <c r="AK491" s="236"/>
      <c r="AL491" s="236"/>
      <c r="AM491" s="236"/>
      <c r="AN491" s="236"/>
      <c r="AO491" s="236"/>
      <c r="AP491" s="236"/>
      <c r="AQ491" s="236"/>
      <c r="AR491" s="236"/>
      <c r="AS491" s="236"/>
      <c r="AT491" s="236"/>
      <c r="AU491" s="236"/>
    </row>
    <row r="492" spans="1:47" ht="15.75" customHeight="1">
      <c r="A492" s="236"/>
      <c r="B492" s="541"/>
      <c r="C492" s="542"/>
      <c r="D492" s="542"/>
      <c r="E492" s="236"/>
      <c r="F492" s="236"/>
      <c r="G492" s="236"/>
      <c r="H492" s="236"/>
      <c r="I492" s="236"/>
      <c r="J492" s="533"/>
      <c r="K492" s="236"/>
      <c r="L492" s="533"/>
      <c r="M492" s="236"/>
      <c r="N492" s="236"/>
      <c r="O492" s="236"/>
      <c r="P492" s="236"/>
      <c r="Q492" s="228"/>
      <c r="R492" s="162"/>
      <c r="S492" s="162"/>
      <c r="T492" s="162"/>
      <c r="U492" s="162"/>
      <c r="V492" s="162"/>
      <c r="W492" s="162"/>
      <c r="X492" s="162"/>
      <c r="Y492" s="162"/>
      <c r="Z492" s="162"/>
      <c r="AA492" s="236"/>
      <c r="AB492" s="236"/>
      <c r="AC492" s="236"/>
      <c r="AD492" s="236"/>
      <c r="AE492" s="236"/>
      <c r="AF492" s="236"/>
      <c r="AG492" s="236"/>
      <c r="AH492" s="236"/>
      <c r="AI492" s="236"/>
      <c r="AJ492" s="236"/>
      <c r="AK492" s="236"/>
      <c r="AL492" s="236"/>
      <c r="AM492" s="236"/>
      <c r="AN492" s="236"/>
      <c r="AO492" s="236"/>
      <c r="AP492" s="236"/>
      <c r="AQ492" s="236"/>
      <c r="AR492" s="236"/>
      <c r="AS492" s="236"/>
      <c r="AT492" s="236"/>
      <c r="AU492" s="236"/>
    </row>
    <row r="493" spans="1:47" ht="15.75" customHeight="1">
      <c r="A493" s="236"/>
      <c r="B493" s="541"/>
      <c r="C493" s="542"/>
      <c r="D493" s="542"/>
      <c r="E493" s="236"/>
      <c r="F493" s="236"/>
      <c r="G493" s="236"/>
      <c r="H493" s="236"/>
      <c r="I493" s="236"/>
      <c r="J493" s="533"/>
      <c r="K493" s="236"/>
      <c r="L493" s="533"/>
      <c r="M493" s="236"/>
      <c r="N493" s="236"/>
      <c r="O493" s="236"/>
      <c r="P493" s="236"/>
      <c r="Q493" s="228"/>
      <c r="R493" s="162"/>
      <c r="S493" s="162"/>
      <c r="T493" s="162"/>
      <c r="U493" s="162"/>
      <c r="V493" s="162"/>
      <c r="W493" s="162"/>
      <c r="X493" s="162"/>
      <c r="Y493" s="162"/>
      <c r="Z493" s="162"/>
      <c r="AA493" s="236"/>
      <c r="AB493" s="236"/>
      <c r="AC493" s="236"/>
      <c r="AD493" s="236"/>
      <c r="AE493" s="236"/>
      <c r="AF493" s="236"/>
      <c r="AG493" s="236"/>
      <c r="AH493" s="236"/>
      <c r="AI493" s="236"/>
      <c r="AJ493" s="236"/>
      <c r="AK493" s="236"/>
      <c r="AL493" s="236"/>
      <c r="AM493" s="236"/>
      <c r="AN493" s="236"/>
      <c r="AO493" s="236"/>
      <c r="AP493" s="236"/>
      <c r="AQ493" s="236"/>
      <c r="AR493" s="236"/>
      <c r="AS493" s="236"/>
      <c r="AT493" s="236"/>
      <c r="AU493" s="236"/>
    </row>
    <row r="494" spans="1:47" ht="15.75" customHeight="1">
      <c r="A494" s="236"/>
      <c r="B494" s="541"/>
      <c r="C494" s="542"/>
      <c r="D494" s="542"/>
      <c r="E494" s="236"/>
      <c r="F494" s="236"/>
      <c r="G494" s="236"/>
      <c r="H494" s="236"/>
      <c r="I494" s="236"/>
      <c r="J494" s="533"/>
      <c r="K494" s="236"/>
      <c r="L494" s="533"/>
      <c r="M494" s="236"/>
      <c r="N494" s="236"/>
      <c r="O494" s="236"/>
      <c r="P494" s="236"/>
      <c r="Q494" s="228"/>
      <c r="R494" s="162"/>
      <c r="S494" s="162"/>
      <c r="T494" s="162"/>
      <c r="U494" s="162"/>
      <c r="V494" s="162"/>
      <c r="W494" s="162"/>
      <c r="X494" s="162"/>
      <c r="Y494" s="162"/>
      <c r="Z494" s="162"/>
      <c r="AA494" s="236"/>
      <c r="AB494" s="236"/>
      <c r="AC494" s="236"/>
      <c r="AD494" s="236"/>
      <c r="AE494" s="236"/>
      <c r="AF494" s="236"/>
      <c r="AG494" s="236"/>
      <c r="AH494" s="236"/>
      <c r="AI494" s="236"/>
      <c r="AJ494" s="236"/>
      <c r="AK494" s="236"/>
      <c r="AL494" s="236"/>
      <c r="AM494" s="236"/>
      <c r="AN494" s="236"/>
      <c r="AO494" s="236"/>
      <c r="AP494" s="236"/>
      <c r="AQ494" s="236"/>
      <c r="AR494" s="236"/>
      <c r="AS494" s="236"/>
      <c r="AT494" s="236"/>
      <c r="AU494" s="236"/>
    </row>
    <row r="495" spans="1:47" ht="15.75" customHeight="1">
      <c r="A495" s="236"/>
      <c r="B495" s="541"/>
      <c r="C495" s="542"/>
      <c r="D495" s="542"/>
      <c r="E495" s="236"/>
      <c r="F495" s="236"/>
      <c r="G495" s="236"/>
      <c r="H495" s="236"/>
      <c r="I495" s="236"/>
      <c r="J495" s="533"/>
      <c r="K495" s="236"/>
      <c r="L495" s="533"/>
      <c r="M495" s="236"/>
      <c r="N495" s="236"/>
      <c r="O495" s="236"/>
      <c r="P495" s="236"/>
      <c r="Q495" s="228"/>
      <c r="R495" s="162"/>
      <c r="S495" s="162"/>
      <c r="T495" s="162"/>
      <c r="U495" s="162"/>
      <c r="V495" s="162"/>
      <c r="W495" s="162"/>
      <c r="X495" s="162"/>
      <c r="Y495" s="162"/>
      <c r="Z495" s="162"/>
      <c r="AA495" s="236"/>
      <c r="AB495" s="236"/>
      <c r="AC495" s="236"/>
      <c r="AD495" s="236"/>
      <c r="AE495" s="236"/>
      <c r="AF495" s="236"/>
      <c r="AG495" s="236"/>
      <c r="AH495" s="236"/>
      <c r="AI495" s="236"/>
      <c r="AJ495" s="236"/>
      <c r="AK495" s="236"/>
      <c r="AL495" s="236"/>
      <c r="AM495" s="236"/>
      <c r="AN495" s="236"/>
      <c r="AO495" s="236"/>
      <c r="AP495" s="236"/>
      <c r="AQ495" s="236"/>
      <c r="AR495" s="236"/>
      <c r="AS495" s="236"/>
      <c r="AT495" s="236"/>
      <c r="AU495" s="236"/>
    </row>
    <row r="496" spans="1:47" ht="15.75" customHeight="1">
      <c r="A496" s="236"/>
      <c r="B496" s="541"/>
      <c r="C496" s="542"/>
      <c r="D496" s="542"/>
      <c r="E496" s="236"/>
      <c r="F496" s="236"/>
      <c r="G496" s="236"/>
      <c r="H496" s="236"/>
      <c r="I496" s="236"/>
      <c r="J496" s="533"/>
      <c r="K496" s="236"/>
      <c r="L496" s="533"/>
      <c r="M496" s="236"/>
      <c r="N496" s="236"/>
      <c r="O496" s="236"/>
      <c r="P496" s="236"/>
      <c r="Q496" s="228"/>
      <c r="R496" s="162"/>
      <c r="S496" s="162"/>
      <c r="T496" s="162"/>
      <c r="U496" s="162"/>
      <c r="V496" s="162"/>
      <c r="W496" s="162"/>
      <c r="X496" s="162"/>
      <c r="Y496" s="162"/>
      <c r="Z496" s="162"/>
      <c r="AA496" s="236"/>
      <c r="AB496" s="236"/>
      <c r="AC496" s="236"/>
      <c r="AD496" s="236"/>
      <c r="AE496" s="236"/>
      <c r="AF496" s="236"/>
      <c r="AG496" s="236"/>
      <c r="AH496" s="236"/>
      <c r="AI496" s="236"/>
      <c r="AJ496" s="236"/>
      <c r="AK496" s="236"/>
      <c r="AL496" s="236"/>
      <c r="AM496" s="236"/>
      <c r="AN496" s="236"/>
      <c r="AO496" s="236"/>
      <c r="AP496" s="236"/>
      <c r="AQ496" s="236"/>
      <c r="AR496" s="236"/>
      <c r="AS496" s="236"/>
      <c r="AT496" s="236"/>
      <c r="AU496" s="236"/>
    </row>
    <row r="497" spans="1:47" ht="15.75" customHeight="1">
      <c r="A497" s="236"/>
      <c r="B497" s="541"/>
      <c r="C497" s="542"/>
      <c r="D497" s="542"/>
      <c r="E497" s="236"/>
      <c r="F497" s="236"/>
      <c r="G497" s="236"/>
      <c r="H497" s="236"/>
      <c r="I497" s="236"/>
      <c r="J497" s="533"/>
      <c r="K497" s="236"/>
      <c r="L497" s="533"/>
      <c r="M497" s="236"/>
      <c r="N497" s="236"/>
      <c r="O497" s="236"/>
      <c r="P497" s="236"/>
      <c r="Q497" s="228"/>
      <c r="R497" s="162"/>
      <c r="S497" s="162"/>
      <c r="T497" s="162"/>
      <c r="U497" s="162"/>
      <c r="V497" s="162"/>
      <c r="W497" s="162"/>
      <c r="X497" s="162"/>
      <c r="Y497" s="162"/>
      <c r="Z497" s="162"/>
      <c r="AA497" s="236"/>
      <c r="AB497" s="236"/>
      <c r="AC497" s="236"/>
      <c r="AD497" s="236"/>
      <c r="AE497" s="236"/>
      <c r="AF497" s="236"/>
      <c r="AG497" s="236"/>
      <c r="AH497" s="236"/>
      <c r="AI497" s="236"/>
      <c r="AJ497" s="236"/>
      <c r="AK497" s="236"/>
      <c r="AL497" s="236"/>
      <c r="AM497" s="236"/>
      <c r="AN497" s="236"/>
      <c r="AO497" s="236"/>
      <c r="AP497" s="236"/>
      <c r="AQ497" s="236"/>
      <c r="AR497" s="236"/>
      <c r="AS497" s="236"/>
      <c r="AT497" s="236"/>
      <c r="AU497" s="236"/>
    </row>
    <row r="498" spans="1:47" ht="15.75" customHeight="1">
      <c r="A498" s="236"/>
      <c r="B498" s="541"/>
      <c r="C498" s="542"/>
      <c r="D498" s="542"/>
      <c r="E498" s="236"/>
      <c r="F498" s="236"/>
      <c r="G498" s="236"/>
      <c r="H498" s="236"/>
      <c r="I498" s="236"/>
      <c r="J498" s="533"/>
      <c r="K498" s="236"/>
      <c r="L498" s="533"/>
      <c r="M498" s="236"/>
      <c r="N498" s="236"/>
      <c r="O498" s="236"/>
      <c r="P498" s="236"/>
      <c r="Q498" s="228"/>
      <c r="R498" s="162"/>
      <c r="S498" s="162"/>
      <c r="T498" s="162"/>
      <c r="U498" s="162"/>
      <c r="V498" s="162"/>
      <c r="W498" s="162"/>
      <c r="X498" s="162"/>
      <c r="Y498" s="162"/>
      <c r="Z498" s="162"/>
      <c r="AA498" s="236"/>
      <c r="AB498" s="236"/>
      <c r="AC498" s="236"/>
      <c r="AD498" s="236"/>
      <c r="AE498" s="236"/>
      <c r="AF498" s="236"/>
      <c r="AG498" s="236"/>
      <c r="AH498" s="236"/>
      <c r="AI498" s="236"/>
      <c r="AJ498" s="236"/>
      <c r="AK498" s="236"/>
      <c r="AL498" s="236"/>
      <c r="AM498" s="236"/>
      <c r="AN498" s="236"/>
      <c r="AO498" s="236"/>
      <c r="AP498" s="236"/>
      <c r="AQ498" s="236"/>
      <c r="AR498" s="236"/>
      <c r="AS498" s="236"/>
      <c r="AT498" s="236"/>
      <c r="AU498" s="236"/>
    </row>
    <row r="499" spans="1:47" ht="15.75" customHeight="1">
      <c r="A499" s="236"/>
      <c r="B499" s="541"/>
      <c r="C499" s="542"/>
      <c r="D499" s="542"/>
      <c r="E499" s="236"/>
      <c r="F499" s="236"/>
      <c r="G499" s="236"/>
      <c r="H499" s="236"/>
      <c r="I499" s="236"/>
      <c r="J499" s="533"/>
      <c r="K499" s="236"/>
      <c r="L499" s="533"/>
      <c r="M499" s="236"/>
      <c r="N499" s="236"/>
      <c r="O499" s="236"/>
      <c r="P499" s="236"/>
      <c r="Q499" s="228"/>
      <c r="R499" s="162"/>
      <c r="S499" s="162"/>
      <c r="T499" s="162"/>
      <c r="U499" s="162"/>
      <c r="V499" s="162"/>
      <c r="W499" s="162"/>
      <c r="X499" s="162"/>
      <c r="Y499" s="162"/>
      <c r="Z499" s="162"/>
      <c r="AA499" s="236"/>
      <c r="AB499" s="236"/>
      <c r="AC499" s="236"/>
      <c r="AD499" s="236"/>
      <c r="AE499" s="236"/>
      <c r="AF499" s="236"/>
      <c r="AG499" s="236"/>
      <c r="AH499" s="236"/>
      <c r="AI499" s="236"/>
      <c r="AJ499" s="236"/>
      <c r="AK499" s="236"/>
      <c r="AL499" s="236"/>
      <c r="AM499" s="236"/>
      <c r="AN499" s="236"/>
      <c r="AO499" s="236"/>
      <c r="AP499" s="236"/>
      <c r="AQ499" s="236"/>
      <c r="AR499" s="236"/>
      <c r="AS499" s="236"/>
      <c r="AT499" s="236"/>
      <c r="AU499" s="236"/>
    </row>
    <row r="500" spans="1:47" ht="15.75" customHeight="1">
      <c r="A500" s="236"/>
      <c r="B500" s="541"/>
      <c r="C500" s="542"/>
      <c r="D500" s="542"/>
      <c r="E500" s="236"/>
      <c r="F500" s="236"/>
      <c r="G500" s="236"/>
      <c r="H500" s="236"/>
      <c r="I500" s="236"/>
      <c r="J500" s="533"/>
      <c r="K500" s="236"/>
      <c r="L500" s="533"/>
      <c r="M500" s="236"/>
      <c r="N500" s="236"/>
      <c r="O500" s="236"/>
      <c r="P500" s="236"/>
      <c r="Q500" s="228"/>
      <c r="R500" s="162"/>
      <c r="S500" s="162"/>
      <c r="T500" s="162"/>
      <c r="U500" s="162"/>
      <c r="V500" s="162"/>
      <c r="W500" s="162"/>
      <c r="X500" s="162"/>
      <c r="Y500" s="162"/>
      <c r="Z500" s="162"/>
      <c r="AA500" s="236"/>
      <c r="AB500" s="236"/>
      <c r="AC500" s="236"/>
      <c r="AD500" s="236"/>
      <c r="AE500" s="236"/>
      <c r="AF500" s="236"/>
      <c r="AG500" s="236"/>
      <c r="AH500" s="236"/>
      <c r="AI500" s="236"/>
      <c r="AJ500" s="236"/>
      <c r="AK500" s="236"/>
      <c r="AL500" s="236"/>
      <c r="AM500" s="236"/>
      <c r="AN500" s="236"/>
      <c r="AO500" s="236"/>
      <c r="AP500" s="236"/>
      <c r="AQ500" s="236"/>
      <c r="AR500" s="236"/>
      <c r="AS500" s="236"/>
      <c r="AT500" s="236"/>
      <c r="AU500" s="236"/>
    </row>
    <row r="501" spans="1:47" ht="15.75" customHeight="1">
      <c r="A501" s="236"/>
      <c r="B501" s="541"/>
      <c r="C501" s="542"/>
      <c r="D501" s="542"/>
      <c r="E501" s="236"/>
      <c r="F501" s="236"/>
      <c r="G501" s="236"/>
      <c r="H501" s="236"/>
      <c r="I501" s="236"/>
      <c r="J501" s="533"/>
      <c r="K501" s="236"/>
      <c r="L501" s="533"/>
      <c r="M501" s="236"/>
      <c r="N501" s="236"/>
      <c r="O501" s="236"/>
      <c r="P501" s="236"/>
      <c r="Q501" s="228"/>
      <c r="R501" s="162"/>
      <c r="S501" s="162"/>
      <c r="T501" s="162"/>
      <c r="U501" s="162"/>
      <c r="V501" s="162"/>
      <c r="W501" s="162"/>
      <c r="X501" s="162"/>
      <c r="Y501" s="162"/>
      <c r="Z501" s="162"/>
      <c r="AA501" s="236"/>
      <c r="AB501" s="236"/>
      <c r="AC501" s="236"/>
      <c r="AD501" s="236"/>
      <c r="AE501" s="236"/>
      <c r="AF501" s="236"/>
      <c r="AG501" s="236"/>
      <c r="AH501" s="236"/>
      <c r="AI501" s="236"/>
      <c r="AJ501" s="236"/>
      <c r="AK501" s="236"/>
      <c r="AL501" s="236"/>
      <c r="AM501" s="236"/>
      <c r="AN501" s="236"/>
      <c r="AO501" s="236"/>
      <c r="AP501" s="236"/>
      <c r="AQ501" s="236"/>
      <c r="AR501" s="236"/>
      <c r="AS501" s="236"/>
      <c r="AT501" s="236"/>
      <c r="AU501" s="236"/>
    </row>
    <row r="502" spans="1:47" ht="15.75" customHeight="1">
      <c r="A502" s="236"/>
      <c r="B502" s="541"/>
      <c r="C502" s="542"/>
      <c r="D502" s="542"/>
      <c r="E502" s="236"/>
      <c r="F502" s="236"/>
      <c r="G502" s="236"/>
      <c r="H502" s="236"/>
      <c r="I502" s="236"/>
      <c r="J502" s="533"/>
      <c r="K502" s="236"/>
      <c r="L502" s="533"/>
      <c r="M502" s="236"/>
      <c r="N502" s="236"/>
      <c r="O502" s="236"/>
      <c r="P502" s="236"/>
      <c r="Q502" s="228"/>
      <c r="R502" s="162"/>
      <c r="S502" s="162"/>
      <c r="T502" s="162"/>
      <c r="U502" s="162"/>
      <c r="V502" s="162"/>
      <c r="W502" s="162"/>
      <c r="X502" s="162"/>
      <c r="Y502" s="162"/>
      <c r="Z502" s="162"/>
      <c r="AA502" s="236"/>
      <c r="AB502" s="236"/>
      <c r="AC502" s="236"/>
      <c r="AD502" s="236"/>
      <c r="AE502" s="236"/>
      <c r="AF502" s="236"/>
      <c r="AG502" s="236"/>
      <c r="AH502" s="236"/>
      <c r="AI502" s="236"/>
      <c r="AJ502" s="236"/>
      <c r="AK502" s="236"/>
      <c r="AL502" s="236"/>
      <c r="AM502" s="236"/>
      <c r="AN502" s="236"/>
      <c r="AO502" s="236"/>
      <c r="AP502" s="236"/>
      <c r="AQ502" s="236"/>
      <c r="AR502" s="236"/>
      <c r="AS502" s="236"/>
      <c r="AT502" s="236"/>
      <c r="AU502" s="236"/>
    </row>
    <row r="503" spans="1:47" ht="15.75" customHeight="1">
      <c r="A503" s="236"/>
      <c r="B503" s="541"/>
      <c r="C503" s="542"/>
      <c r="D503" s="542"/>
      <c r="E503" s="236"/>
      <c r="F503" s="236"/>
      <c r="G503" s="236"/>
      <c r="H503" s="236"/>
      <c r="I503" s="236"/>
      <c r="J503" s="533"/>
      <c r="K503" s="236"/>
      <c r="L503" s="533"/>
      <c r="M503" s="236"/>
      <c r="N503" s="236"/>
      <c r="O503" s="236"/>
      <c r="P503" s="236"/>
      <c r="Q503" s="228"/>
      <c r="R503" s="162"/>
      <c r="S503" s="162"/>
      <c r="T503" s="162"/>
      <c r="U503" s="162"/>
      <c r="V503" s="162"/>
      <c r="W503" s="162"/>
      <c r="X503" s="162"/>
      <c r="Y503" s="162"/>
      <c r="Z503" s="162"/>
      <c r="AA503" s="236"/>
      <c r="AB503" s="236"/>
      <c r="AC503" s="236"/>
      <c r="AD503" s="236"/>
      <c r="AE503" s="236"/>
      <c r="AF503" s="236"/>
      <c r="AG503" s="236"/>
      <c r="AH503" s="236"/>
      <c r="AI503" s="236"/>
      <c r="AJ503" s="236"/>
      <c r="AK503" s="236"/>
      <c r="AL503" s="236"/>
      <c r="AM503" s="236"/>
      <c r="AN503" s="236"/>
      <c r="AO503" s="236"/>
      <c r="AP503" s="236"/>
      <c r="AQ503" s="236"/>
      <c r="AR503" s="236"/>
      <c r="AS503" s="236"/>
      <c r="AT503" s="236"/>
      <c r="AU503" s="236"/>
    </row>
    <row r="504" spans="1:47" ht="15.75" customHeight="1">
      <c r="A504" s="236"/>
      <c r="B504" s="541"/>
      <c r="C504" s="542"/>
      <c r="D504" s="542"/>
      <c r="E504" s="236"/>
      <c r="F504" s="236"/>
      <c r="G504" s="236"/>
      <c r="H504" s="236"/>
      <c r="I504" s="236"/>
      <c r="J504" s="533"/>
      <c r="K504" s="236"/>
      <c r="L504" s="533"/>
      <c r="M504" s="236"/>
      <c r="N504" s="236"/>
      <c r="O504" s="236"/>
      <c r="P504" s="236"/>
      <c r="Q504" s="228"/>
      <c r="R504" s="162"/>
      <c r="S504" s="162"/>
      <c r="T504" s="162"/>
      <c r="U504" s="162"/>
      <c r="V504" s="162"/>
      <c r="W504" s="162"/>
      <c r="X504" s="162"/>
      <c r="Y504" s="162"/>
      <c r="Z504" s="162"/>
      <c r="AA504" s="236"/>
      <c r="AB504" s="236"/>
      <c r="AC504" s="236"/>
      <c r="AD504" s="236"/>
      <c r="AE504" s="236"/>
      <c r="AF504" s="236"/>
      <c r="AG504" s="236"/>
      <c r="AH504" s="236"/>
      <c r="AI504" s="236"/>
      <c r="AJ504" s="236"/>
      <c r="AK504" s="236"/>
      <c r="AL504" s="236"/>
      <c r="AM504" s="236"/>
      <c r="AN504" s="236"/>
      <c r="AO504" s="236"/>
      <c r="AP504" s="236"/>
      <c r="AQ504" s="236"/>
      <c r="AR504" s="236"/>
      <c r="AS504" s="236"/>
      <c r="AT504" s="236"/>
      <c r="AU504" s="236"/>
    </row>
    <row r="505" spans="1:47" ht="15.75" customHeight="1">
      <c r="A505" s="236"/>
      <c r="B505" s="541"/>
      <c r="C505" s="542"/>
      <c r="D505" s="542"/>
      <c r="E505" s="236"/>
      <c r="F505" s="236"/>
      <c r="G505" s="236"/>
      <c r="H505" s="236"/>
      <c r="I505" s="236"/>
      <c r="J505" s="533"/>
      <c r="K505" s="236"/>
      <c r="L505" s="533"/>
      <c r="M505" s="236"/>
      <c r="N505" s="236"/>
      <c r="O505" s="236"/>
      <c r="P505" s="236"/>
      <c r="Q505" s="228"/>
      <c r="R505" s="162"/>
      <c r="S505" s="162"/>
      <c r="T505" s="162"/>
      <c r="U505" s="162"/>
      <c r="V505" s="162"/>
      <c r="W505" s="162"/>
      <c r="X505" s="162"/>
      <c r="Y505" s="162"/>
      <c r="Z505" s="162"/>
      <c r="AA505" s="236"/>
      <c r="AB505" s="236"/>
      <c r="AC505" s="236"/>
      <c r="AD505" s="236"/>
      <c r="AE505" s="236"/>
      <c r="AF505" s="236"/>
      <c r="AG505" s="236"/>
      <c r="AH505" s="236"/>
      <c r="AI505" s="236"/>
      <c r="AJ505" s="236"/>
      <c r="AK505" s="236"/>
      <c r="AL505" s="236"/>
      <c r="AM505" s="236"/>
      <c r="AN505" s="236"/>
      <c r="AO505" s="236"/>
      <c r="AP505" s="236"/>
      <c r="AQ505" s="236"/>
      <c r="AR505" s="236"/>
      <c r="AS505" s="236"/>
      <c r="AT505" s="236"/>
      <c r="AU505" s="236"/>
    </row>
    <row r="506" spans="1:47" ht="15.75" customHeight="1">
      <c r="A506" s="236"/>
      <c r="B506" s="541"/>
      <c r="C506" s="542"/>
      <c r="D506" s="542"/>
      <c r="E506" s="236"/>
      <c r="F506" s="236"/>
      <c r="G506" s="236"/>
      <c r="H506" s="236"/>
      <c r="I506" s="236"/>
      <c r="J506" s="533"/>
      <c r="K506" s="236"/>
      <c r="L506" s="533"/>
      <c r="M506" s="236"/>
      <c r="N506" s="236"/>
      <c r="O506" s="236"/>
      <c r="P506" s="236"/>
      <c r="Q506" s="228"/>
      <c r="R506" s="162"/>
      <c r="S506" s="162"/>
      <c r="T506" s="162"/>
      <c r="U506" s="162"/>
      <c r="V506" s="162"/>
      <c r="W506" s="162"/>
      <c r="X506" s="162"/>
      <c r="Y506" s="162"/>
      <c r="Z506" s="162"/>
      <c r="AA506" s="236"/>
      <c r="AB506" s="236"/>
      <c r="AC506" s="236"/>
      <c r="AD506" s="236"/>
      <c r="AE506" s="236"/>
      <c r="AF506" s="236"/>
      <c r="AG506" s="236"/>
      <c r="AH506" s="236"/>
      <c r="AI506" s="236"/>
      <c r="AJ506" s="236"/>
      <c r="AK506" s="236"/>
      <c r="AL506" s="236"/>
      <c r="AM506" s="236"/>
      <c r="AN506" s="236"/>
      <c r="AO506" s="236"/>
      <c r="AP506" s="236"/>
      <c r="AQ506" s="236"/>
      <c r="AR506" s="236"/>
      <c r="AS506" s="236"/>
      <c r="AT506" s="236"/>
      <c r="AU506" s="236"/>
    </row>
    <row r="507" spans="1:47" ht="15.75" customHeight="1">
      <c r="A507" s="236"/>
      <c r="B507" s="541"/>
      <c r="C507" s="542"/>
      <c r="D507" s="542"/>
      <c r="E507" s="236"/>
      <c r="F507" s="236"/>
      <c r="G507" s="236"/>
      <c r="H507" s="236"/>
      <c r="I507" s="236"/>
      <c r="J507" s="533"/>
      <c r="K507" s="236"/>
      <c r="L507" s="533"/>
      <c r="M507" s="236"/>
      <c r="N507" s="236"/>
      <c r="O507" s="236"/>
      <c r="P507" s="236"/>
      <c r="Q507" s="228"/>
      <c r="R507" s="162"/>
      <c r="S507" s="162"/>
      <c r="T507" s="162"/>
      <c r="U507" s="162"/>
      <c r="V507" s="162"/>
      <c r="W507" s="162"/>
      <c r="X507" s="162"/>
      <c r="Y507" s="162"/>
      <c r="Z507" s="162"/>
      <c r="AA507" s="236"/>
      <c r="AB507" s="236"/>
      <c r="AC507" s="236"/>
      <c r="AD507" s="236"/>
      <c r="AE507" s="236"/>
      <c r="AF507" s="236"/>
      <c r="AG507" s="236"/>
      <c r="AH507" s="236"/>
      <c r="AI507" s="236"/>
      <c r="AJ507" s="236"/>
      <c r="AK507" s="236"/>
      <c r="AL507" s="236"/>
      <c r="AM507" s="236"/>
      <c r="AN507" s="236"/>
      <c r="AO507" s="236"/>
      <c r="AP507" s="236"/>
      <c r="AQ507" s="236"/>
      <c r="AR507" s="236"/>
      <c r="AS507" s="236"/>
      <c r="AT507" s="236"/>
      <c r="AU507" s="236"/>
    </row>
    <row r="508" spans="1:47" ht="15.75" customHeight="1">
      <c r="A508" s="236"/>
      <c r="B508" s="541"/>
      <c r="C508" s="542"/>
      <c r="D508" s="542"/>
      <c r="E508" s="236"/>
      <c r="F508" s="236"/>
      <c r="G508" s="236"/>
      <c r="H508" s="236"/>
      <c r="I508" s="236"/>
      <c r="J508" s="533"/>
      <c r="K508" s="236"/>
      <c r="L508" s="533"/>
      <c r="M508" s="236"/>
      <c r="N508" s="236"/>
      <c r="O508" s="236"/>
      <c r="P508" s="236"/>
      <c r="Q508" s="228"/>
      <c r="R508" s="162"/>
      <c r="S508" s="162"/>
      <c r="T508" s="162"/>
      <c r="U508" s="162"/>
      <c r="V508" s="162"/>
      <c r="W508" s="162"/>
      <c r="X508" s="162"/>
      <c r="Y508" s="162"/>
      <c r="Z508" s="162"/>
      <c r="AA508" s="236"/>
      <c r="AB508" s="236"/>
      <c r="AC508" s="236"/>
      <c r="AD508" s="236"/>
      <c r="AE508" s="236"/>
      <c r="AF508" s="236"/>
      <c r="AG508" s="236"/>
      <c r="AH508" s="236"/>
      <c r="AI508" s="236"/>
      <c r="AJ508" s="236"/>
      <c r="AK508" s="236"/>
      <c r="AL508" s="236"/>
      <c r="AM508" s="236"/>
      <c r="AN508" s="236"/>
      <c r="AO508" s="236"/>
      <c r="AP508" s="236"/>
      <c r="AQ508" s="236"/>
      <c r="AR508" s="236"/>
      <c r="AS508" s="236"/>
      <c r="AT508" s="236"/>
      <c r="AU508" s="236"/>
    </row>
    <row r="509" spans="1:47" ht="15.75" customHeight="1">
      <c r="A509" s="236"/>
      <c r="B509" s="541"/>
      <c r="C509" s="542"/>
      <c r="D509" s="542"/>
      <c r="E509" s="236"/>
      <c r="F509" s="236"/>
      <c r="G509" s="236"/>
      <c r="H509" s="236"/>
      <c r="I509" s="236"/>
      <c r="J509" s="533"/>
      <c r="K509" s="236"/>
      <c r="L509" s="533"/>
      <c r="M509" s="236"/>
      <c r="N509" s="236"/>
      <c r="O509" s="236"/>
      <c r="P509" s="236"/>
      <c r="Q509" s="228"/>
      <c r="R509" s="162"/>
      <c r="S509" s="162"/>
      <c r="T509" s="162"/>
      <c r="U509" s="162"/>
      <c r="V509" s="162"/>
      <c r="W509" s="162"/>
      <c r="X509" s="162"/>
      <c r="Y509" s="162"/>
      <c r="Z509" s="162"/>
      <c r="AA509" s="236"/>
      <c r="AB509" s="236"/>
      <c r="AC509" s="236"/>
      <c r="AD509" s="236"/>
      <c r="AE509" s="236"/>
      <c r="AF509" s="236"/>
      <c r="AG509" s="236"/>
      <c r="AH509" s="236"/>
      <c r="AI509" s="236"/>
      <c r="AJ509" s="236"/>
      <c r="AK509" s="236"/>
      <c r="AL509" s="236"/>
      <c r="AM509" s="236"/>
      <c r="AN509" s="236"/>
      <c r="AO509" s="236"/>
      <c r="AP509" s="236"/>
      <c r="AQ509" s="236"/>
      <c r="AR509" s="236"/>
      <c r="AS509" s="236"/>
      <c r="AT509" s="236"/>
      <c r="AU509" s="236"/>
    </row>
    <row r="510" spans="1:47" ht="15.75" customHeight="1">
      <c r="A510" s="236"/>
      <c r="B510" s="541"/>
      <c r="C510" s="542"/>
      <c r="D510" s="542"/>
      <c r="E510" s="236"/>
      <c r="F510" s="236"/>
      <c r="G510" s="236"/>
      <c r="H510" s="236"/>
      <c r="I510" s="236"/>
      <c r="J510" s="533"/>
      <c r="K510" s="236"/>
      <c r="L510" s="533"/>
      <c r="M510" s="236"/>
      <c r="N510" s="236"/>
      <c r="O510" s="236"/>
      <c r="P510" s="236"/>
      <c r="Q510" s="228"/>
      <c r="R510" s="162"/>
      <c r="S510" s="162"/>
      <c r="T510" s="162"/>
      <c r="U510" s="162"/>
      <c r="V510" s="162"/>
      <c r="W510" s="162"/>
      <c r="X510" s="162"/>
      <c r="Y510" s="162"/>
      <c r="Z510" s="162"/>
      <c r="AA510" s="236"/>
      <c r="AB510" s="236"/>
      <c r="AC510" s="236"/>
      <c r="AD510" s="236"/>
      <c r="AE510" s="236"/>
      <c r="AF510" s="236"/>
      <c r="AG510" s="236"/>
      <c r="AH510" s="236"/>
      <c r="AI510" s="236"/>
      <c r="AJ510" s="236"/>
      <c r="AK510" s="236"/>
      <c r="AL510" s="236"/>
      <c r="AM510" s="236"/>
      <c r="AN510" s="236"/>
      <c r="AO510" s="236"/>
      <c r="AP510" s="236"/>
      <c r="AQ510" s="236"/>
      <c r="AR510" s="236"/>
      <c r="AS510" s="236"/>
      <c r="AT510" s="236"/>
      <c r="AU510" s="236"/>
    </row>
    <row r="511" spans="1:47" ht="15.75" customHeight="1">
      <c r="A511" s="236"/>
      <c r="B511" s="541"/>
      <c r="C511" s="542"/>
      <c r="D511" s="542"/>
      <c r="E511" s="236"/>
      <c r="F511" s="236"/>
      <c r="G511" s="236"/>
      <c r="H511" s="236"/>
      <c r="I511" s="236"/>
      <c r="J511" s="533"/>
      <c r="K511" s="236"/>
      <c r="L511" s="533"/>
      <c r="M511" s="236"/>
      <c r="N511" s="236"/>
      <c r="O511" s="236"/>
      <c r="P511" s="236"/>
      <c r="Q511" s="228"/>
      <c r="R511" s="162"/>
      <c r="S511" s="162"/>
      <c r="T511" s="162"/>
      <c r="U511" s="162"/>
      <c r="V511" s="162"/>
      <c r="W511" s="162"/>
      <c r="X511" s="162"/>
      <c r="Y511" s="162"/>
      <c r="Z511" s="162"/>
      <c r="AA511" s="236"/>
      <c r="AB511" s="236"/>
      <c r="AC511" s="236"/>
      <c r="AD511" s="236"/>
      <c r="AE511" s="236"/>
      <c r="AF511" s="236"/>
      <c r="AG511" s="236"/>
      <c r="AH511" s="236"/>
      <c r="AI511" s="236"/>
      <c r="AJ511" s="236"/>
      <c r="AK511" s="236"/>
      <c r="AL511" s="236"/>
      <c r="AM511" s="236"/>
      <c r="AN511" s="236"/>
      <c r="AO511" s="236"/>
      <c r="AP511" s="236"/>
      <c r="AQ511" s="236"/>
      <c r="AR511" s="236"/>
      <c r="AS511" s="236"/>
      <c r="AT511" s="236"/>
      <c r="AU511" s="236"/>
    </row>
    <row r="512" spans="1:47" ht="15.75" customHeight="1">
      <c r="A512" s="236"/>
      <c r="B512" s="541"/>
      <c r="C512" s="542"/>
      <c r="D512" s="542"/>
      <c r="E512" s="236"/>
      <c r="F512" s="236"/>
      <c r="G512" s="236"/>
      <c r="H512" s="236"/>
      <c r="I512" s="236"/>
      <c r="J512" s="533"/>
      <c r="K512" s="236"/>
      <c r="L512" s="533"/>
      <c r="M512" s="236"/>
      <c r="N512" s="236"/>
      <c r="O512" s="236"/>
      <c r="P512" s="236"/>
      <c r="Q512" s="228"/>
      <c r="R512" s="162"/>
      <c r="S512" s="162"/>
      <c r="T512" s="162"/>
      <c r="U512" s="162"/>
      <c r="V512" s="162"/>
      <c r="W512" s="162"/>
      <c r="X512" s="162"/>
      <c r="Y512" s="162"/>
      <c r="Z512" s="162"/>
      <c r="AA512" s="236"/>
      <c r="AB512" s="236"/>
      <c r="AC512" s="236"/>
      <c r="AD512" s="236"/>
      <c r="AE512" s="236"/>
      <c r="AF512" s="236"/>
      <c r="AG512" s="236"/>
      <c r="AH512" s="236"/>
      <c r="AI512" s="236"/>
      <c r="AJ512" s="236"/>
      <c r="AK512" s="236"/>
      <c r="AL512" s="236"/>
      <c r="AM512" s="236"/>
      <c r="AN512" s="236"/>
      <c r="AO512" s="236"/>
      <c r="AP512" s="236"/>
      <c r="AQ512" s="236"/>
      <c r="AR512" s="236"/>
      <c r="AS512" s="236"/>
      <c r="AT512" s="236"/>
      <c r="AU512" s="236"/>
    </row>
    <row r="513" spans="1:47" ht="15.75" customHeight="1">
      <c r="A513" s="236"/>
      <c r="B513" s="541"/>
      <c r="C513" s="542"/>
      <c r="D513" s="542"/>
      <c r="E513" s="236"/>
      <c r="F513" s="236"/>
      <c r="G513" s="236"/>
      <c r="H513" s="236"/>
      <c r="I513" s="236"/>
      <c r="J513" s="533"/>
      <c r="K513" s="236"/>
      <c r="L513" s="533"/>
      <c r="M513" s="236"/>
      <c r="N513" s="236"/>
      <c r="O513" s="236"/>
      <c r="P513" s="236"/>
      <c r="Q513" s="228"/>
      <c r="R513" s="162"/>
      <c r="S513" s="162"/>
      <c r="T513" s="162"/>
      <c r="U513" s="162"/>
      <c r="V513" s="162"/>
      <c r="W513" s="162"/>
      <c r="X513" s="162"/>
      <c r="Y513" s="162"/>
      <c r="Z513" s="162"/>
      <c r="AA513" s="236"/>
      <c r="AB513" s="236"/>
      <c r="AC513" s="236"/>
      <c r="AD513" s="236"/>
      <c r="AE513" s="236"/>
      <c r="AF513" s="236"/>
      <c r="AG513" s="236"/>
      <c r="AH513" s="236"/>
      <c r="AI513" s="236"/>
      <c r="AJ513" s="236"/>
      <c r="AK513" s="236"/>
      <c r="AL513" s="236"/>
      <c r="AM513" s="236"/>
      <c r="AN513" s="236"/>
      <c r="AO513" s="236"/>
      <c r="AP513" s="236"/>
      <c r="AQ513" s="236"/>
      <c r="AR513" s="236"/>
      <c r="AS513" s="236"/>
      <c r="AT513" s="236"/>
      <c r="AU513" s="236"/>
    </row>
    <row r="514" spans="1:47" ht="15.75" customHeight="1">
      <c r="A514" s="236"/>
      <c r="B514" s="541"/>
      <c r="C514" s="542"/>
      <c r="D514" s="542"/>
      <c r="E514" s="236"/>
      <c r="F514" s="236"/>
      <c r="G514" s="236"/>
      <c r="H514" s="236"/>
      <c r="I514" s="236"/>
      <c r="J514" s="533"/>
      <c r="K514" s="236"/>
      <c r="L514" s="533"/>
      <c r="M514" s="236"/>
      <c r="N514" s="236"/>
      <c r="O514" s="236"/>
      <c r="P514" s="236"/>
      <c r="Q514" s="228"/>
      <c r="R514" s="162"/>
      <c r="S514" s="162"/>
      <c r="T514" s="162"/>
      <c r="U514" s="162"/>
      <c r="V514" s="162"/>
      <c r="W514" s="162"/>
      <c r="X514" s="162"/>
      <c r="Y514" s="162"/>
      <c r="Z514" s="162"/>
      <c r="AA514" s="236"/>
      <c r="AB514" s="236"/>
      <c r="AC514" s="236"/>
      <c r="AD514" s="236"/>
      <c r="AE514" s="236"/>
      <c r="AF514" s="236"/>
      <c r="AG514" s="236"/>
      <c r="AH514" s="236"/>
      <c r="AI514" s="236"/>
      <c r="AJ514" s="236"/>
      <c r="AK514" s="236"/>
      <c r="AL514" s="236"/>
      <c r="AM514" s="236"/>
      <c r="AN514" s="236"/>
      <c r="AO514" s="236"/>
      <c r="AP514" s="236"/>
      <c r="AQ514" s="236"/>
      <c r="AR514" s="236"/>
      <c r="AS514" s="236"/>
      <c r="AT514" s="236"/>
      <c r="AU514" s="236"/>
    </row>
    <row r="515" spans="1:47" ht="15.75" customHeight="1">
      <c r="A515" s="236"/>
      <c r="B515" s="541"/>
      <c r="C515" s="542"/>
      <c r="D515" s="542"/>
      <c r="E515" s="236"/>
      <c r="F515" s="236"/>
      <c r="G515" s="236"/>
      <c r="H515" s="236"/>
      <c r="I515" s="236"/>
      <c r="J515" s="533"/>
      <c r="K515" s="236"/>
      <c r="L515" s="533"/>
      <c r="M515" s="236"/>
      <c r="N515" s="236"/>
      <c r="O515" s="236"/>
      <c r="P515" s="236"/>
      <c r="Q515" s="228"/>
      <c r="R515" s="162"/>
      <c r="S515" s="162"/>
      <c r="T515" s="162"/>
      <c r="U515" s="162"/>
      <c r="V515" s="162"/>
      <c r="W515" s="162"/>
      <c r="X515" s="162"/>
      <c r="Y515" s="162"/>
      <c r="Z515" s="162"/>
      <c r="AA515" s="236"/>
      <c r="AB515" s="236"/>
      <c r="AC515" s="236"/>
      <c r="AD515" s="236"/>
      <c r="AE515" s="236"/>
      <c r="AF515" s="236"/>
      <c r="AG515" s="236"/>
      <c r="AH515" s="236"/>
      <c r="AI515" s="236"/>
      <c r="AJ515" s="236"/>
      <c r="AK515" s="236"/>
      <c r="AL515" s="236"/>
      <c r="AM515" s="236"/>
      <c r="AN515" s="236"/>
      <c r="AO515" s="236"/>
      <c r="AP515" s="236"/>
      <c r="AQ515" s="236"/>
      <c r="AR515" s="236"/>
      <c r="AS515" s="236"/>
      <c r="AT515" s="236"/>
      <c r="AU515" s="236"/>
    </row>
    <row r="516" spans="1:47" ht="15.75" customHeight="1">
      <c r="A516" s="236"/>
      <c r="B516" s="541"/>
      <c r="C516" s="542"/>
      <c r="D516" s="542"/>
      <c r="E516" s="236"/>
      <c r="F516" s="236"/>
      <c r="G516" s="236"/>
      <c r="H516" s="236"/>
      <c r="I516" s="236"/>
      <c r="J516" s="533"/>
      <c r="K516" s="236"/>
      <c r="L516" s="533"/>
      <c r="M516" s="236"/>
      <c r="N516" s="236"/>
      <c r="O516" s="236"/>
      <c r="P516" s="236"/>
      <c r="Q516" s="228"/>
      <c r="R516" s="162"/>
      <c r="S516" s="162"/>
      <c r="T516" s="162"/>
      <c r="U516" s="162"/>
      <c r="V516" s="162"/>
      <c r="W516" s="162"/>
      <c r="X516" s="162"/>
      <c r="Y516" s="162"/>
      <c r="Z516" s="162"/>
      <c r="AA516" s="236"/>
      <c r="AB516" s="236"/>
      <c r="AC516" s="236"/>
      <c r="AD516" s="236"/>
      <c r="AE516" s="236"/>
      <c r="AF516" s="236"/>
      <c r="AG516" s="236"/>
      <c r="AH516" s="236"/>
      <c r="AI516" s="236"/>
      <c r="AJ516" s="236"/>
      <c r="AK516" s="236"/>
      <c r="AL516" s="236"/>
      <c r="AM516" s="236"/>
      <c r="AN516" s="236"/>
      <c r="AO516" s="236"/>
      <c r="AP516" s="236"/>
      <c r="AQ516" s="236"/>
      <c r="AR516" s="236"/>
      <c r="AS516" s="236"/>
      <c r="AT516" s="236"/>
      <c r="AU516" s="236"/>
    </row>
    <row r="517" spans="1:47" ht="15.75" customHeight="1">
      <c r="A517" s="236"/>
      <c r="B517" s="541"/>
      <c r="C517" s="542"/>
      <c r="D517" s="542"/>
      <c r="E517" s="236"/>
      <c r="F517" s="236"/>
      <c r="G517" s="236"/>
      <c r="H517" s="236"/>
      <c r="I517" s="236"/>
      <c r="J517" s="533"/>
      <c r="K517" s="236"/>
      <c r="L517" s="533"/>
      <c r="M517" s="236"/>
      <c r="N517" s="236"/>
      <c r="O517" s="236"/>
      <c r="P517" s="236"/>
      <c r="Q517" s="228"/>
      <c r="R517" s="162"/>
      <c r="S517" s="162"/>
      <c r="T517" s="162"/>
      <c r="U517" s="162"/>
      <c r="V517" s="162"/>
      <c r="W517" s="162"/>
      <c r="X517" s="162"/>
      <c r="Y517" s="162"/>
      <c r="Z517" s="162"/>
      <c r="AA517" s="236"/>
      <c r="AB517" s="236"/>
      <c r="AC517" s="236"/>
      <c r="AD517" s="236"/>
      <c r="AE517" s="236"/>
      <c r="AF517" s="236"/>
      <c r="AG517" s="236"/>
      <c r="AH517" s="236"/>
      <c r="AI517" s="236"/>
      <c r="AJ517" s="236"/>
      <c r="AK517" s="236"/>
      <c r="AL517" s="236"/>
      <c r="AM517" s="236"/>
      <c r="AN517" s="236"/>
      <c r="AO517" s="236"/>
      <c r="AP517" s="236"/>
      <c r="AQ517" s="236"/>
      <c r="AR517" s="236"/>
      <c r="AS517" s="236"/>
      <c r="AT517" s="236"/>
      <c r="AU517" s="236"/>
    </row>
    <row r="518" spans="1:47" ht="15.75" customHeight="1">
      <c r="A518" s="236"/>
      <c r="B518" s="541"/>
      <c r="C518" s="542"/>
      <c r="D518" s="542"/>
      <c r="E518" s="236"/>
      <c r="F518" s="236"/>
      <c r="G518" s="236"/>
      <c r="H518" s="236"/>
      <c r="I518" s="236"/>
      <c r="J518" s="533"/>
      <c r="K518" s="236"/>
      <c r="L518" s="533"/>
      <c r="M518" s="236"/>
      <c r="N518" s="236"/>
      <c r="O518" s="236"/>
      <c r="P518" s="236"/>
      <c r="Q518" s="228"/>
      <c r="R518" s="162"/>
      <c r="S518" s="162"/>
      <c r="T518" s="162"/>
      <c r="U518" s="162"/>
      <c r="V518" s="162"/>
      <c r="W518" s="162"/>
      <c r="X518" s="162"/>
      <c r="Y518" s="162"/>
      <c r="Z518" s="162"/>
      <c r="AA518" s="236"/>
      <c r="AB518" s="236"/>
      <c r="AC518" s="236"/>
      <c r="AD518" s="236"/>
      <c r="AE518" s="236"/>
      <c r="AF518" s="236"/>
      <c r="AG518" s="236"/>
      <c r="AH518" s="236"/>
      <c r="AI518" s="236"/>
      <c r="AJ518" s="236"/>
      <c r="AK518" s="236"/>
      <c r="AL518" s="236"/>
      <c r="AM518" s="236"/>
      <c r="AN518" s="236"/>
      <c r="AO518" s="236"/>
      <c r="AP518" s="236"/>
      <c r="AQ518" s="236"/>
      <c r="AR518" s="236"/>
      <c r="AS518" s="236"/>
      <c r="AT518" s="236"/>
      <c r="AU518" s="236"/>
    </row>
    <row r="519" spans="1:47" ht="15.75" customHeight="1">
      <c r="A519" s="236"/>
      <c r="B519" s="541"/>
      <c r="C519" s="542"/>
      <c r="D519" s="542"/>
      <c r="E519" s="236"/>
      <c r="F519" s="236"/>
      <c r="G519" s="236"/>
      <c r="H519" s="236"/>
      <c r="I519" s="236"/>
      <c r="J519" s="533"/>
      <c r="K519" s="236"/>
      <c r="L519" s="533"/>
      <c r="M519" s="236"/>
      <c r="N519" s="236"/>
      <c r="O519" s="236"/>
      <c r="P519" s="236"/>
      <c r="Q519" s="228"/>
      <c r="R519" s="162"/>
      <c r="S519" s="162"/>
      <c r="T519" s="162"/>
      <c r="U519" s="162"/>
      <c r="V519" s="162"/>
      <c r="W519" s="162"/>
      <c r="X519" s="162"/>
      <c r="Y519" s="162"/>
      <c r="Z519" s="162"/>
      <c r="AA519" s="236"/>
      <c r="AB519" s="236"/>
      <c r="AC519" s="236"/>
      <c r="AD519" s="236"/>
      <c r="AE519" s="236"/>
      <c r="AF519" s="236"/>
      <c r="AG519" s="236"/>
      <c r="AH519" s="236"/>
      <c r="AI519" s="236"/>
      <c r="AJ519" s="236"/>
      <c r="AK519" s="236"/>
      <c r="AL519" s="236"/>
      <c r="AM519" s="236"/>
      <c r="AN519" s="236"/>
      <c r="AO519" s="236"/>
      <c r="AP519" s="236"/>
      <c r="AQ519" s="236"/>
      <c r="AR519" s="236"/>
      <c r="AS519" s="236"/>
      <c r="AT519" s="236"/>
      <c r="AU519" s="236"/>
    </row>
    <row r="520" spans="1:47" ht="15.75" customHeight="1">
      <c r="A520" s="236"/>
      <c r="B520" s="541"/>
      <c r="C520" s="542"/>
      <c r="D520" s="542"/>
      <c r="E520" s="236"/>
      <c r="F520" s="236"/>
      <c r="G520" s="236"/>
      <c r="H520" s="236"/>
      <c r="I520" s="236"/>
      <c r="J520" s="533"/>
      <c r="K520" s="236"/>
      <c r="L520" s="533"/>
      <c r="M520" s="236"/>
      <c r="N520" s="236"/>
      <c r="O520" s="236"/>
      <c r="P520" s="236"/>
      <c r="Q520" s="228"/>
      <c r="R520" s="162"/>
      <c r="S520" s="162"/>
      <c r="T520" s="162"/>
      <c r="U520" s="162"/>
      <c r="V520" s="162"/>
      <c r="W520" s="162"/>
      <c r="X520" s="162"/>
      <c r="Y520" s="162"/>
      <c r="Z520" s="162"/>
      <c r="AA520" s="236"/>
      <c r="AB520" s="236"/>
      <c r="AC520" s="236"/>
      <c r="AD520" s="236"/>
      <c r="AE520" s="236"/>
      <c r="AF520" s="236"/>
      <c r="AG520" s="236"/>
      <c r="AH520" s="236"/>
      <c r="AI520" s="236"/>
      <c r="AJ520" s="236"/>
      <c r="AK520" s="236"/>
      <c r="AL520" s="236"/>
      <c r="AM520" s="236"/>
      <c r="AN520" s="236"/>
      <c r="AO520" s="236"/>
      <c r="AP520" s="236"/>
      <c r="AQ520" s="236"/>
      <c r="AR520" s="236"/>
      <c r="AS520" s="236"/>
      <c r="AT520" s="236"/>
      <c r="AU520" s="236"/>
    </row>
    <row r="521" spans="1:47" ht="15.75" customHeight="1">
      <c r="A521" s="236"/>
      <c r="B521" s="541"/>
      <c r="C521" s="542"/>
      <c r="D521" s="542"/>
      <c r="E521" s="236"/>
      <c r="F521" s="236"/>
      <c r="G521" s="236"/>
      <c r="H521" s="236"/>
      <c r="I521" s="236"/>
      <c r="J521" s="533"/>
      <c r="K521" s="236"/>
      <c r="L521" s="533"/>
      <c r="M521" s="236"/>
      <c r="N521" s="236"/>
      <c r="O521" s="236"/>
      <c r="P521" s="236"/>
      <c r="Q521" s="228"/>
      <c r="R521" s="162"/>
      <c r="S521" s="162"/>
      <c r="T521" s="162"/>
      <c r="U521" s="162"/>
      <c r="V521" s="162"/>
      <c r="W521" s="162"/>
      <c r="X521" s="162"/>
      <c r="Y521" s="162"/>
      <c r="Z521" s="162"/>
      <c r="AA521" s="236"/>
      <c r="AB521" s="236"/>
      <c r="AC521" s="236"/>
      <c r="AD521" s="236"/>
      <c r="AE521" s="236"/>
      <c r="AF521" s="236"/>
      <c r="AG521" s="236"/>
      <c r="AH521" s="236"/>
      <c r="AI521" s="236"/>
      <c r="AJ521" s="236"/>
      <c r="AK521" s="236"/>
      <c r="AL521" s="236"/>
      <c r="AM521" s="236"/>
      <c r="AN521" s="236"/>
      <c r="AO521" s="236"/>
      <c r="AP521" s="236"/>
      <c r="AQ521" s="236"/>
      <c r="AR521" s="236"/>
      <c r="AS521" s="236"/>
      <c r="AT521" s="236"/>
      <c r="AU521" s="236"/>
    </row>
    <row r="522" spans="1:47" ht="15.75" customHeight="1">
      <c r="A522" s="236"/>
      <c r="B522" s="541"/>
      <c r="C522" s="542"/>
      <c r="D522" s="542"/>
      <c r="E522" s="236"/>
      <c r="F522" s="236"/>
      <c r="G522" s="236"/>
      <c r="H522" s="236"/>
      <c r="I522" s="236"/>
      <c r="J522" s="533"/>
      <c r="K522" s="236"/>
      <c r="L522" s="533"/>
      <c r="M522" s="236"/>
      <c r="N522" s="236"/>
      <c r="O522" s="236"/>
      <c r="P522" s="236"/>
      <c r="Q522" s="228"/>
      <c r="R522" s="162"/>
      <c r="S522" s="162"/>
      <c r="T522" s="162"/>
      <c r="U522" s="162"/>
      <c r="V522" s="162"/>
      <c r="W522" s="162"/>
      <c r="X522" s="162"/>
      <c r="Y522" s="162"/>
      <c r="Z522" s="162"/>
      <c r="AA522" s="236"/>
      <c r="AB522" s="236"/>
      <c r="AC522" s="236"/>
      <c r="AD522" s="236"/>
      <c r="AE522" s="236"/>
      <c r="AF522" s="236"/>
      <c r="AG522" s="236"/>
      <c r="AH522" s="236"/>
      <c r="AI522" s="236"/>
      <c r="AJ522" s="236"/>
      <c r="AK522" s="236"/>
      <c r="AL522" s="236"/>
      <c r="AM522" s="236"/>
      <c r="AN522" s="236"/>
      <c r="AO522" s="236"/>
      <c r="AP522" s="236"/>
      <c r="AQ522" s="236"/>
      <c r="AR522" s="236"/>
      <c r="AS522" s="236"/>
      <c r="AT522" s="236"/>
      <c r="AU522" s="236"/>
    </row>
    <row r="523" spans="1:47" ht="15.75" customHeight="1">
      <c r="A523" s="236"/>
      <c r="B523" s="541"/>
      <c r="C523" s="542"/>
      <c r="D523" s="542"/>
      <c r="E523" s="236"/>
      <c r="F523" s="236"/>
      <c r="G523" s="236"/>
      <c r="H523" s="236"/>
      <c r="I523" s="236"/>
      <c r="J523" s="533"/>
      <c r="K523" s="236"/>
      <c r="L523" s="533"/>
      <c r="M523" s="236"/>
      <c r="N523" s="236"/>
      <c r="O523" s="236"/>
      <c r="P523" s="236"/>
      <c r="Q523" s="228"/>
      <c r="R523" s="162"/>
      <c r="S523" s="162"/>
      <c r="T523" s="162"/>
      <c r="U523" s="162"/>
      <c r="V523" s="162"/>
      <c r="W523" s="162"/>
      <c r="X523" s="162"/>
      <c r="Y523" s="162"/>
      <c r="Z523" s="162"/>
      <c r="AA523" s="236"/>
      <c r="AB523" s="236"/>
      <c r="AC523" s="236"/>
      <c r="AD523" s="236"/>
      <c r="AE523" s="236"/>
      <c r="AF523" s="236"/>
      <c r="AG523" s="236"/>
      <c r="AH523" s="236"/>
      <c r="AI523" s="236"/>
      <c r="AJ523" s="236"/>
      <c r="AK523" s="236"/>
      <c r="AL523" s="236"/>
      <c r="AM523" s="236"/>
      <c r="AN523" s="236"/>
      <c r="AO523" s="236"/>
      <c r="AP523" s="236"/>
      <c r="AQ523" s="236"/>
      <c r="AR523" s="236"/>
      <c r="AS523" s="236"/>
      <c r="AT523" s="236"/>
      <c r="AU523" s="236"/>
    </row>
    <row r="524" spans="1:47" ht="15.75" customHeight="1">
      <c r="A524" s="236"/>
      <c r="B524" s="541"/>
      <c r="C524" s="542"/>
      <c r="D524" s="542"/>
      <c r="E524" s="236"/>
      <c r="F524" s="236"/>
      <c r="G524" s="236"/>
      <c r="H524" s="236"/>
      <c r="I524" s="236"/>
      <c r="J524" s="533"/>
      <c r="K524" s="236"/>
      <c r="L524" s="533"/>
      <c r="M524" s="236"/>
      <c r="N524" s="236"/>
      <c r="O524" s="236"/>
      <c r="P524" s="236"/>
      <c r="Q524" s="228"/>
      <c r="R524" s="162"/>
      <c r="S524" s="162"/>
      <c r="T524" s="162"/>
      <c r="U524" s="162"/>
      <c r="V524" s="162"/>
      <c r="W524" s="162"/>
      <c r="X524" s="162"/>
      <c r="Y524" s="162"/>
      <c r="Z524" s="162"/>
      <c r="AA524" s="236"/>
      <c r="AB524" s="236"/>
      <c r="AC524" s="236"/>
      <c r="AD524" s="236"/>
      <c r="AE524" s="236"/>
      <c r="AF524" s="236"/>
      <c r="AG524" s="236"/>
      <c r="AH524" s="236"/>
      <c r="AI524" s="236"/>
      <c r="AJ524" s="236"/>
      <c r="AK524" s="236"/>
      <c r="AL524" s="236"/>
      <c r="AM524" s="236"/>
      <c r="AN524" s="236"/>
      <c r="AO524" s="236"/>
      <c r="AP524" s="236"/>
      <c r="AQ524" s="236"/>
      <c r="AR524" s="236"/>
      <c r="AS524" s="236"/>
      <c r="AT524" s="236"/>
      <c r="AU524" s="236"/>
    </row>
    <row r="525" spans="1:47" ht="15.75" customHeight="1">
      <c r="A525" s="236"/>
      <c r="B525" s="541"/>
      <c r="C525" s="542"/>
      <c r="D525" s="542"/>
      <c r="E525" s="236"/>
      <c r="F525" s="236"/>
      <c r="G525" s="236"/>
      <c r="H525" s="236"/>
      <c r="I525" s="236"/>
      <c r="J525" s="533"/>
      <c r="K525" s="236"/>
      <c r="L525" s="533"/>
      <c r="M525" s="236"/>
      <c r="N525" s="236"/>
      <c r="O525" s="236"/>
      <c r="P525" s="236"/>
      <c r="Q525" s="228"/>
      <c r="R525" s="162"/>
      <c r="S525" s="162"/>
      <c r="T525" s="162"/>
      <c r="U525" s="162"/>
      <c r="V525" s="162"/>
      <c r="W525" s="162"/>
      <c r="X525" s="162"/>
      <c r="Y525" s="162"/>
      <c r="Z525" s="162"/>
      <c r="AA525" s="236"/>
      <c r="AB525" s="236"/>
      <c r="AC525" s="236"/>
      <c r="AD525" s="236"/>
      <c r="AE525" s="236"/>
      <c r="AF525" s="236"/>
      <c r="AG525" s="236"/>
      <c r="AH525" s="236"/>
      <c r="AI525" s="236"/>
      <c r="AJ525" s="236"/>
      <c r="AK525" s="236"/>
      <c r="AL525" s="236"/>
      <c r="AM525" s="236"/>
      <c r="AN525" s="236"/>
      <c r="AO525" s="236"/>
      <c r="AP525" s="236"/>
      <c r="AQ525" s="236"/>
      <c r="AR525" s="236"/>
      <c r="AS525" s="236"/>
      <c r="AT525" s="236"/>
      <c r="AU525" s="236"/>
    </row>
    <row r="526" spans="1:47" ht="15.75" customHeight="1">
      <c r="A526" s="236"/>
      <c r="B526" s="541"/>
      <c r="C526" s="542"/>
      <c r="D526" s="542"/>
      <c r="E526" s="236"/>
      <c r="F526" s="236"/>
      <c r="G526" s="236"/>
      <c r="H526" s="236"/>
      <c r="I526" s="236"/>
      <c r="J526" s="533"/>
      <c r="K526" s="236"/>
      <c r="L526" s="533"/>
      <c r="M526" s="236"/>
      <c r="N526" s="236"/>
      <c r="O526" s="236"/>
      <c r="P526" s="236"/>
      <c r="Q526" s="228"/>
      <c r="R526" s="162"/>
      <c r="S526" s="162"/>
      <c r="T526" s="162"/>
      <c r="U526" s="162"/>
      <c r="V526" s="162"/>
      <c r="W526" s="162"/>
      <c r="X526" s="162"/>
      <c r="Y526" s="162"/>
      <c r="Z526" s="162"/>
      <c r="AA526" s="236"/>
      <c r="AB526" s="236"/>
      <c r="AC526" s="236"/>
      <c r="AD526" s="236"/>
      <c r="AE526" s="236"/>
      <c r="AF526" s="236"/>
      <c r="AG526" s="236"/>
      <c r="AH526" s="236"/>
      <c r="AI526" s="236"/>
      <c r="AJ526" s="236"/>
      <c r="AK526" s="236"/>
      <c r="AL526" s="236"/>
      <c r="AM526" s="236"/>
      <c r="AN526" s="236"/>
      <c r="AO526" s="236"/>
      <c r="AP526" s="236"/>
      <c r="AQ526" s="236"/>
      <c r="AR526" s="236"/>
      <c r="AS526" s="236"/>
      <c r="AT526" s="236"/>
      <c r="AU526" s="236"/>
    </row>
    <row r="527" spans="1:47" ht="15.75" customHeight="1">
      <c r="A527" s="236"/>
      <c r="B527" s="541"/>
      <c r="C527" s="542"/>
      <c r="D527" s="542"/>
      <c r="E527" s="236"/>
      <c r="F527" s="236"/>
      <c r="G527" s="236"/>
      <c r="H527" s="236"/>
      <c r="I527" s="236"/>
      <c r="J527" s="533"/>
      <c r="K527" s="236"/>
      <c r="L527" s="533"/>
      <c r="M527" s="236"/>
      <c r="N527" s="236"/>
      <c r="O527" s="236"/>
      <c r="P527" s="236"/>
      <c r="Q527" s="228"/>
      <c r="R527" s="162"/>
      <c r="S527" s="162"/>
      <c r="T527" s="162"/>
      <c r="U527" s="162"/>
      <c r="V527" s="162"/>
      <c r="W527" s="162"/>
      <c r="X527" s="162"/>
      <c r="Y527" s="162"/>
      <c r="Z527" s="162"/>
      <c r="AA527" s="236"/>
      <c r="AB527" s="236"/>
      <c r="AC527" s="236"/>
      <c r="AD527" s="236"/>
      <c r="AE527" s="236"/>
      <c r="AF527" s="236"/>
      <c r="AG527" s="236"/>
      <c r="AH527" s="236"/>
      <c r="AI527" s="236"/>
      <c r="AJ527" s="236"/>
      <c r="AK527" s="236"/>
      <c r="AL527" s="236"/>
      <c r="AM527" s="236"/>
      <c r="AN527" s="236"/>
      <c r="AO527" s="236"/>
      <c r="AP527" s="236"/>
      <c r="AQ527" s="236"/>
      <c r="AR527" s="236"/>
      <c r="AS527" s="236"/>
      <c r="AT527" s="236"/>
      <c r="AU527" s="236"/>
    </row>
    <row r="528" spans="1:47" ht="15.75" customHeight="1">
      <c r="A528" s="236"/>
      <c r="B528" s="541"/>
      <c r="C528" s="542"/>
      <c r="D528" s="542"/>
      <c r="E528" s="236"/>
      <c r="F528" s="236"/>
      <c r="G528" s="236"/>
      <c r="H528" s="236"/>
      <c r="I528" s="236"/>
      <c r="J528" s="533"/>
      <c r="K528" s="236"/>
      <c r="L528" s="533"/>
      <c r="M528" s="236"/>
      <c r="N528" s="236"/>
      <c r="O528" s="236"/>
      <c r="P528" s="236"/>
      <c r="Q528" s="228"/>
      <c r="R528" s="162"/>
      <c r="S528" s="162"/>
      <c r="T528" s="162"/>
      <c r="U528" s="162"/>
      <c r="V528" s="162"/>
      <c r="W528" s="162"/>
      <c r="X528" s="162"/>
      <c r="Y528" s="162"/>
      <c r="Z528" s="162"/>
      <c r="AA528" s="236"/>
      <c r="AB528" s="236"/>
      <c r="AC528" s="236"/>
      <c r="AD528" s="236"/>
      <c r="AE528" s="236"/>
      <c r="AF528" s="236"/>
      <c r="AG528" s="236"/>
      <c r="AH528" s="236"/>
      <c r="AI528" s="236"/>
      <c r="AJ528" s="236"/>
      <c r="AK528" s="236"/>
      <c r="AL528" s="236"/>
      <c r="AM528" s="236"/>
      <c r="AN528" s="236"/>
      <c r="AO528" s="236"/>
      <c r="AP528" s="236"/>
      <c r="AQ528" s="236"/>
      <c r="AR528" s="236"/>
      <c r="AS528" s="236"/>
      <c r="AT528" s="236"/>
      <c r="AU528" s="236"/>
    </row>
    <row r="529" spans="1:47" ht="15.75" customHeight="1">
      <c r="A529" s="236"/>
      <c r="B529" s="541"/>
      <c r="C529" s="542"/>
      <c r="D529" s="542"/>
      <c r="E529" s="236"/>
      <c r="F529" s="236"/>
      <c r="G529" s="236"/>
      <c r="H529" s="236"/>
      <c r="I529" s="236"/>
      <c r="J529" s="533"/>
      <c r="K529" s="236"/>
      <c r="L529" s="533"/>
      <c r="M529" s="236"/>
      <c r="N529" s="236"/>
      <c r="O529" s="236"/>
      <c r="P529" s="236"/>
      <c r="Q529" s="228"/>
      <c r="R529" s="162"/>
      <c r="S529" s="162"/>
      <c r="T529" s="162"/>
      <c r="U529" s="162"/>
      <c r="V529" s="162"/>
      <c r="W529" s="162"/>
      <c r="X529" s="162"/>
      <c r="Y529" s="162"/>
      <c r="Z529" s="162"/>
      <c r="AA529" s="236"/>
      <c r="AB529" s="236"/>
      <c r="AC529" s="236"/>
      <c r="AD529" s="236"/>
      <c r="AE529" s="236"/>
      <c r="AF529" s="236"/>
      <c r="AG529" s="236"/>
      <c r="AH529" s="236"/>
      <c r="AI529" s="236"/>
      <c r="AJ529" s="236"/>
      <c r="AK529" s="236"/>
      <c r="AL529" s="236"/>
      <c r="AM529" s="236"/>
      <c r="AN529" s="236"/>
      <c r="AO529" s="236"/>
      <c r="AP529" s="236"/>
      <c r="AQ529" s="236"/>
      <c r="AR529" s="236"/>
      <c r="AS529" s="236"/>
      <c r="AT529" s="236"/>
      <c r="AU529" s="236"/>
    </row>
    <row r="530" spans="1:47" ht="15.75" customHeight="1">
      <c r="A530" s="236"/>
      <c r="B530" s="541"/>
      <c r="C530" s="542"/>
      <c r="D530" s="542"/>
      <c r="E530" s="236"/>
      <c r="F530" s="236"/>
      <c r="G530" s="236"/>
      <c r="H530" s="236"/>
      <c r="I530" s="236"/>
      <c r="J530" s="533"/>
      <c r="K530" s="236"/>
      <c r="L530" s="533"/>
      <c r="M530" s="236"/>
      <c r="N530" s="236"/>
      <c r="O530" s="236"/>
      <c r="P530" s="236"/>
      <c r="Q530" s="228"/>
      <c r="R530" s="162"/>
      <c r="S530" s="162"/>
      <c r="T530" s="162"/>
      <c r="U530" s="162"/>
      <c r="V530" s="162"/>
      <c r="W530" s="162"/>
      <c r="X530" s="162"/>
      <c r="Y530" s="162"/>
      <c r="Z530" s="162"/>
      <c r="AA530" s="236"/>
      <c r="AB530" s="236"/>
      <c r="AC530" s="236"/>
      <c r="AD530" s="236"/>
      <c r="AE530" s="236"/>
      <c r="AF530" s="236"/>
      <c r="AG530" s="236"/>
      <c r="AH530" s="236"/>
      <c r="AI530" s="236"/>
      <c r="AJ530" s="236"/>
      <c r="AK530" s="236"/>
      <c r="AL530" s="236"/>
      <c r="AM530" s="236"/>
      <c r="AN530" s="236"/>
      <c r="AO530" s="236"/>
      <c r="AP530" s="236"/>
      <c r="AQ530" s="236"/>
      <c r="AR530" s="236"/>
      <c r="AS530" s="236"/>
      <c r="AT530" s="236"/>
      <c r="AU530" s="236"/>
    </row>
    <row r="531" spans="1:47" ht="15.75" customHeight="1">
      <c r="A531" s="236"/>
      <c r="B531" s="541"/>
      <c r="C531" s="542"/>
      <c r="D531" s="542"/>
      <c r="E531" s="236"/>
      <c r="F531" s="236"/>
      <c r="G531" s="236"/>
      <c r="H531" s="236"/>
      <c r="I531" s="236"/>
      <c r="J531" s="533"/>
      <c r="K531" s="236"/>
      <c r="L531" s="533"/>
      <c r="M531" s="236"/>
      <c r="N531" s="236"/>
      <c r="O531" s="236"/>
      <c r="P531" s="236"/>
      <c r="Q531" s="228"/>
      <c r="R531" s="162"/>
      <c r="S531" s="162"/>
      <c r="T531" s="162"/>
      <c r="U531" s="162"/>
      <c r="V531" s="162"/>
      <c r="W531" s="162"/>
      <c r="X531" s="162"/>
      <c r="Y531" s="162"/>
      <c r="Z531" s="162"/>
      <c r="AA531" s="236"/>
      <c r="AB531" s="236"/>
      <c r="AC531" s="236"/>
      <c r="AD531" s="236"/>
      <c r="AE531" s="236"/>
      <c r="AF531" s="236"/>
      <c r="AG531" s="236"/>
      <c r="AH531" s="236"/>
      <c r="AI531" s="236"/>
      <c r="AJ531" s="236"/>
      <c r="AK531" s="236"/>
      <c r="AL531" s="236"/>
      <c r="AM531" s="236"/>
      <c r="AN531" s="236"/>
      <c r="AO531" s="236"/>
      <c r="AP531" s="236"/>
      <c r="AQ531" s="236"/>
      <c r="AR531" s="236"/>
      <c r="AS531" s="236"/>
      <c r="AT531" s="236"/>
      <c r="AU531" s="236"/>
    </row>
    <row r="532" spans="1:47" ht="15.75" customHeight="1">
      <c r="A532" s="236"/>
      <c r="B532" s="541"/>
      <c r="C532" s="542"/>
      <c r="D532" s="542"/>
      <c r="E532" s="236"/>
      <c r="F532" s="236"/>
      <c r="G532" s="236"/>
      <c r="H532" s="236"/>
      <c r="I532" s="236"/>
      <c r="J532" s="533"/>
      <c r="K532" s="236"/>
      <c r="L532" s="533"/>
      <c r="M532" s="236"/>
      <c r="N532" s="236"/>
      <c r="O532" s="236"/>
      <c r="P532" s="236"/>
      <c r="Q532" s="228"/>
      <c r="R532" s="162"/>
      <c r="S532" s="162"/>
      <c r="T532" s="162"/>
      <c r="U532" s="162"/>
      <c r="V532" s="162"/>
      <c r="W532" s="162"/>
      <c r="X532" s="162"/>
      <c r="Y532" s="162"/>
      <c r="Z532" s="162"/>
      <c r="AA532" s="236"/>
      <c r="AB532" s="236"/>
      <c r="AC532" s="236"/>
      <c r="AD532" s="236"/>
      <c r="AE532" s="236"/>
      <c r="AF532" s="236"/>
      <c r="AG532" s="236"/>
      <c r="AH532" s="236"/>
      <c r="AI532" s="236"/>
      <c r="AJ532" s="236"/>
      <c r="AK532" s="236"/>
      <c r="AL532" s="236"/>
      <c r="AM532" s="236"/>
      <c r="AN532" s="236"/>
      <c r="AO532" s="236"/>
      <c r="AP532" s="236"/>
      <c r="AQ532" s="236"/>
      <c r="AR532" s="236"/>
      <c r="AS532" s="236"/>
      <c r="AT532" s="236"/>
      <c r="AU532" s="236"/>
    </row>
    <row r="533" spans="1:47" ht="15.75" customHeight="1">
      <c r="A533" s="236"/>
      <c r="B533" s="541"/>
      <c r="C533" s="542"/>
      <c r="D533" s="542"/>
      <c r="E533" s="236"/>
      <c r="F533" s="236"/>
      <c r="G533" s="236"/>
      <c r="H533" s="236"/>
      <c r="I533" s="236"/>
      <c r="J533" s="533"/>
      <c r="K533" s="236"/>
      <c r="L533" s="533"/>
      <c r="M533" s="236"/>
      <c r="N533" s="236"/>
      <c r="O533" s="236"/>
      <c r="P533" s="236"/>
      <c r="Q533" s="228"/>
      <c r="R533" s="162"/>
      <c r="S533" s="162"/>
      <c r="T533" s="162"/>
      <c r="U533" s="162"/>
      <c r="V533" s="162"/>
      <c r="W533" s="162"/>
      <c r="X533" s="162"/>
      <c r="Y533" s="162"/>
      <c r="Z533" s="162"/>
      <c r="AA533" s="236"/>
      <c r="AB533" s="236"/>
      <c r="AC533" s="236"/>
      <c r="AD533" s="236"/>
      <c r="AE533" s="236"/>
      <c r="AF533" s="236"/>
      <c r="AG533" s="236"/>
      <c r="AH533" s="236"/>
      <c r="AI533" s="236"/>
      <c r="AJ533" s="236"/>
      <c r="AK533" s="236"/>
      <c r="AL533" s="236"/>
      <c r="AM533" s="236"/>
      <c r="AN533" s="236"/>
      <c r="AO533" s="236"/>
      <c r="AP533" s="236"/>
      <c r="AQ533" s="236"/>
      <c r="AR533" s="236"/>
      <c r="AS533" s="236"/>
      <c r="AT533" s="236"/>
      <c r="AU533" s="236"/>
    </row>
    <row r="534" spans="1:47" ht="15.75" customHeight="1">
      <c r="A534" s="236"/>
      <c r="B534" s="541"/>
      <c r="C534" s="542"/>
      <c r="D534" s="542"/>
      <c r="E534" s="236"/>
      <c r="F534" s="236"/>
      <c r="G534" s="236"/>
      <c r="H534" s="236"/>
      <c r="I534" s="236"/>
      <c r="J534" s="533"/>
      <c r="K534" s="236"/>
      <c r="L534" s="533"/>
      <c r="M534" s="236"/>
      <c r="N534" s="236"/>
      <c r="O534" s="236"/>
      <c r="P534" s="236"/>
      <c r="Q534" s="228"/>
      <c r="R534" s="162"/>
      <c r="S534" s="162"/>
      <c r="T534" s="162"/>
      <c r="U534" s="162"/>
      <c r="V534" s="162"/>
      <c r="W534" s="162"/>
      <c r="X534" s="162"/>
      <c r="Y534" s="162"/>
      <c r="Z534" s="162"/>
      <c r="AA534" s="236"/>
      <c r="AB534" s="236"/>
      <c r="AC534" s="236"/>
      <c r="AD534" s="236"/>
      <c r="AE534" s="236"/>
      <c r="AF534" s="236"/>
      <c r="AG534" s="236"/>
      <c r="AH534" s="236"/>
      <c r="AI534" s="236"/>
      <c r="AJ534" s="236"/>
      <c r="AK534" s="236"/>
      <c r="AL534" s="236"/>
      <c r="AM534" s="236"/>
      <c r="AN534" s="236"/>
      <c r="AO534" s="236"/>
      <c r="AP534" s="236"/>
      <c r="AQ534" s="236"/>
      <c r="AR534" s="236"/>
      <c r="AS534" s="236"/>
      <c r="AT534" s="236"/>
      <c r="AU534" s="236"/>
    </row>
    <row r="535" spans="1:47" ht="15.75" customHeight="1">
      <c r="A535" s="236"/>
      <c r="B535" s="541"/>
      <c r="C535" s="542"/>
      <c r="D535" s="542"/>
      <c r="E535" s="236"/>
      <c r="F535" s="236"/>
      <c r="G535" s="236"/>
      <c r="H535" s="236"/>
      <c r="I535" s="236"/>
      <c r="J535" s="533"/>
      <c r="K535" s="236"/>
      <c r="L535" s="533"/>
      <c r="M535" s="236"/>
      <c r="N535" s="236"/>
      <c r="O535" s="236"/>
      <c r="P535" s="236"/>
      <c r="Q535" s="228"/>
      <c r="R535" s="162"/>
      <c r="S535" s="162"/>
      <c r="T535" s="162"/>
      <c r="U535" s="162"/>
      <c r="V535" s="162"/>
      <c r="W535" s="162"/>
      <c r="X535" s="162"/>
      <c r="Y535" s="162"/>
      <c r="Z535" s="162"/>
      <c r="AA535" s="236"/>
      <c r="AB535" s="236"/>
      <c r="AC535" s="236"/>
      <c r="AD535" s="236"/>
      <c r="AE535" s="236"/>
      <c r="AF535" s="236"/>
      <c r="AG535" s="236"/>
      <c r="AH535" s="236"/>
      <c r="AI535" s="236"/>
      <c r="AJ535" s="236"/>
      <c r="AK535" s="236"/>
      <c r="AL535" s="236"/>
      <c r="AM535" s="236"/>
      <c r="AN535" s="236"/>
      <c r="AO535" s="236"/>
      <c r="AP535" s="236"/>
      <c r="AQ535" s="236"/>
      <c r="AR535" s="236"/>
      <c r="AS535" s="236"/>
      <c r="AT535" s="236"/>
      <c r="AU535" s="236"/>
    </row>
    <row r="536" spans="1:47" ht="15.75" customHeight="1">
      <c r="A536" s="236"/>
      <c r="B536" s="541"/>
      <c r="C536" s="542"/>
      <c r="D536" s="542"/>
      <c r="E536" s="236"/>
      <c r="F536" s="236"/>
      <c r="G536" s="236"/>
      <c r="H536" s="236"/>
      <c r="I536" s="236"/>
      <c r="J536" s="533"/>
      <c r="K536" s="236"/>
      <c r="L536" s="533"/>
      <c r="M536" s="236"/>
      <c r="N536" s="236"/>
      <c r="O536" s="236"/>
      <c r="P536" s="236"/>
      <c r="Q536" s="228"/>
      <c r="R536" s="162"/>
      <c r="S536" s="162"/>
      <c r="T536" s="162"/>
      <c r="U536" s="162"/>
      <c r="V536" s="162"/>
      <c r="W536" s="162"/>
      <c r="X536" s="162"/>
      <c r="Y536" s="162"/>
      <c r="Z536" s="162"/>
      <c r="AA536" s="236"/>
      <c r="AB536" s="236"/>
      <c r="AC536" s="236"/>
      <c r="AD536" s="236"/>
      <c r="AE536" s="236"/>
      <c r="AF536" s="236"/>
      <c r="AG536" s="236"/>
      <c r="AH536" s="236"/>
      <c r="AI536" s="236"/>
      <c r="AJ536" s="236"/>
      <c r="AK536" s="236"/>
      <c r="AL536" s="236"/>
      <c r="AM536" s="236"/>
      <c r="AN536" s="236"/>
      <c r="AO536" s="236"/>
      <c r="AP536" s="236"/>
      <c r="AQ536" s="236"/>
      <c r="AR536" s="236"/>
      <c r="AS536" s="236"/>
      <c r="AT536" s="236"/>
      <c r="AU536" s="236"/>
    </row>
    <row r="537" spans="1:47" ht="15.75" customHeight="1">
      <c r="A537" s="236"/>
      <c r="B537" s="541"/>
      <c r="C537" s="542"/>
      <c r="D537" s="542"/>
      <c r="E537" s="236"/>
      <c r="F537" s="236"/>
      <c r="G537" s="236"/>
      <c r="H537" s="236"/>
      <c r="I537" s="236"/>
      <c r="J537" s="533"/>
      <c r="K537" s="236"/>
      <c r="L537" s="533"/>
      <c r="M537" s="236"/>
      <c r="N537" s="236"/>
      <c r="O537" s="236"/>
      <c r="P537" s="236"/>
      <c r="Q537" s="228"/>
      <c r="R537" s="162"/>
      <c r="S537" s="162"/>
      <c r="T537" s="162"/>
      <c r="U537" s="162"/>
      <c r="V537" s="162"/>
      <c r="W537" s="162"/>
      <c r="X537" s="162"/>
      <c r="Y537" s="162"/>
      <c r="Z537" s="162"/>
      <c r="AA537" s="236"/>
      <c r="AB537" s="236"/>
      <c r="AC537" s="236"/>
      <c r="AD537" s="236"/>
      <c r="AE537" s="236"/>
      <c r="AF537" s="236"/>
      <c r="AG537" s="236"/>
      <c r="AH537" s="236"/>
      <c r="AI537" s="236"/>
      <c r="AJ537" s="236"/>
      <c r="AK537" s="236"/>
      <c r="AL537" s="236"/>
      <c r="AM537" s="236"/>
      <c r="AN537" s="236"/>
      <c r="AO537" s="236"/>
      <c r="AP537" s="236"/>
      <c r="AQ537" s="236"/>
      <c r="AR537" s="236"/>
      <c r="AS537" s="236"/>
      <c r="AT537" s="236"/>
      <c r="AU537" s="236"/>
    </row>
    <row r="538" spans="1:47" ht="15.75" customHeight="1">
      <c r="A538" s="236"/>
      <c r="B538" s="541"/>
      <c r="C538" s="542"/>
      <c r="D538" s="542"/>
      <c r="E538" s="236"/>
      <c r="F538" s="236"/>
      <c r="G538" s="236"/>
      <c r="H538" s="236"/>
      <c r="I538" s="236"/>
      <c r="J538" s="533"/>
      <c r="K538" s="236"/>
      <c r="L538" s="533"/>
      <c r="M538" s="236"/>
      <c r="N538" s="236"/>
      <c r="O538" s="236"/>
      <c r="P538" s="236"/>
      <c r="Q538" s="228"/>
      <c r="R538" s="162"/>
      <c r="S538" s="162"/>
      <c r="T538" s="162"/>
      <c r="U538" s="162"/>
      <c r="V538" s="162"/>
      <c r="W538" s="162"/>
      <c r="X538" s="162"/>
      <c r="Y538" s="162"/>
      <c r="Z538" s="162"/>
      <c r="AA538" s="236"/>
      <c r="AB538" s="236"/>
      <c r="AC538" s="236"/>
      <c r="AD538" s="236"/>
      <c r="AE538" s="236"/>
      <c r="AF538" s="236"/>
      <c r="AG538" s="236"/>
      <c r="AH538" s="236"/>
      <c r="AI538" s="236"/>
      <c r="AJ538" s="236"/>
      <c r="AK538" s="236"/>
      <c r="AL538" s="236"/>
      <c r="AM538" s="236"/>
      <c r="AN538" s="236"/>
      <c r="AO538" s="236"/>
      <c r="AP538" s="236"/>
      <c r="AQ538" s="236"/>
      <c r="AR538" s="236"/>
      <c r="AS538" s="236"/>
      <c r="AT538" s="236"/>
      <c r="AU538" s="236"/>
    </row>
    <row r="539" spans="1:47" ht="15.75" customHeight="1">
      <c r="A539" s="236"/>
      <c r="B539" s="541"/>
      <c r="C539" s="542"/>
      <c r="D539" s="542"/>
      <c r="E539" s="236"/>
      <c r="F539" s="236"/>
      <c r="G539" s="236"/>
      <c r="H539" s="236"/>
      <c r="I539" s="236"/>
      <c r="J539" s="533"/>
      <c r="K539" s="236"/>
      <c r="L539" s="533"/>
      <c r="M539" s="236"/>
      <c r="N539" s="236"/>
      <c r="O539" s="236"/>
      <c r="P539" s="236"/>
      <c r="Q539" s="228"/>
      <c r="R539" s="162"/>
      <c r="S539" s="162"/>
      <c r="T539" s="162"/>
      <c r="U539" s="162"/>
      <c r="V539" s="162"/>
      <c r="W539" s="162"/>
      <c r="X539" s="162"/>
      <c r="Y539" s="162"/>
      <c r="Z539" s="162"/>
      <c r="AA539" s="236"/>
      <c r="AB539" s="236"/>
      <c r="AC539" s="236"/>
      <c r="AD539" s="236"/>
      <c r="AE539" s="236"/>
      <c r="AF539" s="236"/>
      <c r="AG539" s="236"/>
      <c r="AH539" s="236"/>
      <c r="AI539" s="236"/>
      <c r="AJ539" s="236"/>
      <c r="AK539" s="236"/>
      <c r="AL539" s="236"/>
      <c r="AM539" s="236"/>
      <c r="AN539" s="236"/>
      <c r="AO539" s="236"/>
      <c r="AP539" s="236"/>
      <c r="AQ539" s="236"/>
      <c r="AR539" s="236"/>
      <c r="AS539" s="236"/>
      <c r="AT539" s="236"/>
      <c r="AU539" s="236"/>
    </row>
    <row r="540" spans="1:47" ht="15.75" customHeight="1">
      <c r="A540" s="236"/>
      <c r="B540" s="541"/>
      <c r="C540" s="542"/>
      <c r="D540" s="542"/>
      <c r="E540" s="236"/>
      <c r="F540" s="236"/>
      <c r="G540" s="236"/>
      <c r="H540" s="236"/>
      <c r="I540" s="236"/>
      <c r="J540" s="533"/>
      <c r="K540" s="236"/>
      <c r="L540" s="533"/>
      <c r="M540" s="236"/>
      <c r="N540" s="236"/>
      <c r="O540" s="236"/>
      <c r="P540" s="236"/>
      <c r="Q540" s="228"/>
      <c r="R540" s="162"/>
      <c r="S540" s="162"/>
      <c r="T540" s="162"/>
      <c r="U540" s="162"/>
      <c r="V540" s="162"/>
      <c r="W540" s="162"/>
      <c r="X540" s="162"/>
      <c r="Y540" s="162"/>
      <c r="Z540" s="162"/>
      <c r="AA540" s="236"/>
      <c r="AB540" s="236"/>
      <c r="AC540" s="236"/>
      <c r="AD540" s="236"/>
      <c r="AE540" s="236"/>
      <c r="AF540" s="236"/>
      <c r="AG540" s="236"/>
      <c r="AH540" s="236"/>
      <c r="AI540" s="236"/>
      <c r="AJ540" s="236"/>
      <c r="AK540" s="236"/>
      <c r="AL540" s="236"/>
      <c r="AM540" s="236"/>
      <c r="AN540" s="236"/>
      <c r="AO540" s="236"/>
      <c r="AP540" s="236"/>
      <c r="AQ540" s="236"/>
      <c r="AR540" s="236"/>
      <c r="AS540" s="236"/>
      <c r="AT540" s="236"/>
      <c r="AU540" s="236"/>
    </row>
    <row r="541" spans="1:47" ht="15.75" customHeight="1">
      <c r="A541" s="236"/>
      <c r="B541" s="541"/>
      <c r="C541" s="542"/>
      <c r="D541" s="542"/>
      <c r="E541" s="236"/>
      <c r="F541" s="236"/>
      <c r="G541" s="236"/>
      <c r="H541" s="236"/>
      <c r="I541" s="236"/>
      <c r="J541" s="533"/>
      <c r="K541" s="236"/>
      <c r="L541" s="533"/>
      <c r="M541" s="236"/>
      <c r="N541" s="236"/>
      <c r="O541" s="236"/>
      <c r="P541" s="236"/>
      <c r="Q541" s="228"/>
      <c r="R541" s="162"/>
      <c r="S541" s="162"/>
      <c r="T541" s="162"/>
      <c r="U541" s="162"/>
      <c r="V541" s="162"/>
      <c r="W541" s="162"/>
      <c r="X541" s="162"/>
      <c r="Y541" s="162"/>
      <c r="Z541" s="162"/>
      <c r="AA541" s="236"/>
      <c r="AB541" s="236"/>
      <c r="AC541" s="236"/>
      <c r="AD541" s="236"/>
      <c r="AE541" s="236"/>
      <c r="AF541" s="236"/>
      <c r="AG541" s="236"/>
      <c r="AH541" s="236"/>
      <c r="AI541" s="236"/>
      <c r="AJ541" s="236"/>
      <c r="AK541" s="236"/>
      <c r="AL541" s="236"/>
      <c r="AM541" s="236"/>
      <c r="AN541" s="236"/>
      <c r="AO541" s="236"/>
      <c r="AP541" s="236"/>
      <c r="AQ541" s="236"/>
      <c r="AR541" s="236"/>
      <c r="AS541" s="236"/>
      <c r="AT541" s="236"/>
      <c r="AU541" s="236"/>
    </row>
    <row r="542" spans="1:47" ht="15.75" customHeight="1">
      <c r="A542" s="236"/>
      <c r="B542" s="541"/>
      <c r="C542" s="542"/>
      <c r="D542" s="542"/>
      <c r="E542" s="236"/>
      <c r="F542" s="236"/>
      <c r="G542" s="236"/>
      <c r="H542" s="236"/>
      <c r="I542" s="236"/>
      <c r="J542" s="533"/>
      <c r="K542" s="236"/>
      <c r="L542" s="533"/>
      <c r="M542" s="236"/>
      <c r="N542" s="236"/>
      <c r="O542" s="236"/>
      <c r="P542" s="236"/>
      <c r="Q542" s="228"/>
      <c r="R542" s="162"/>
      <c r="S542" s="162"/>
      <c r="T542" s="162"/>
      <c r="U542" s="162"/>
      <c r="V542" s="162"/>
      <c r="W542" s="162"/>
      <c r="X542" s="162"/>
      <c r="Y542" s="162"/>
      <c r="Z542" s="162"/>
      <c r="AA542" s="236"/>
      <c r="AB542" s="236"/>
      <c r="AC542" s="236"/>
      <c r="AD542" s="236"/>
      <c r="AE542" s="236"/>
      <c r="AF542" s="236"/>
      <c r="AG542" s="236"/>
      <c r="AH542" s="236"/>
      <c r="AI542" s="236"/>
      <c r="AJ542" s="236"/>
      <c r="AK542" s="236"/>
      <c r="AL542" s="236"/>
      <c r="AM542" s="236"/>
      <c r="AN542" s="236"/>
      <c r="AO542" s="236"/>
      <c r="AP542" s="236"/>
      <c r="AQ542" s="236"/>
      <c r="AR542" s="236"/>
      <c r="AS542" s="236"/>
      <c r="AT542" s="236"/>
      <c r="AU542" s="236"/>
    </row>
    <row r="543" spans="1:47" ht="15.75" customHeight="1">
      <c r="A543" s="236"/>
      <c r="B543" s="541"/>
      <c r="C543" s="542"/>
      <c r="D543" s="542"/>
      <c r="E543" s="236"/>
      <c r="F543" s="236"/>
      <c r="G543" s="236"/>
      <c r="H543" s="236"/>
      <c r="I543" s="236"/>
      <c r="J543" s="533"/>
      <c r="K543" s="236"/>
      <c r="L543" s="533"/>
      <c r="M543" s="236"/>
      <c r="N543" s="236"/>
      <c r="O543" s="236"/>
      <c r="P543" s="236"/>
      <c r="Q543" s="228"/>
      <c r="R543" s="162"/>
      <c r="S543" s="162"/>
      <c r="T543" s="162"/>
      <c r="U543" s="162"/>
      <c r="V543" s="162"/>
      <c r="W543" s="162"/>
      <c r="X543" s="162"/>
      <c r="Y543" s="162"/>
      <c r="Z543" s="162"/>
      <c r="AA543" s="236"/>
      <c r="AB543" s="236"/>
      <c r="AC543" s="236"/>
      <c r="AD543" s="236"/>
      <c r="AE543" s="236"/>
      <c r="AF543" s="236"/>
      <c r="AG543" s="236"/>
      <c r="AH543" s="236"/>
      <c r="AI543" s="236"/>
      <c r="AJ543" s="236"/>
      <c r="AK543" s="236"/>
      <c r="AL543" s="236"/>
      <c r="AM543" s="236"/>
      <c r="AN543" s="236"/>
      <c r="AO543" s="236"/>
      <c r="AP543" s="236"/>
      <c r="AQ543" s="236"/>
      <c r="AR543" s="236"/>
      <c r="AS543" s="236"/>
      <c r="AT543" s="236"/>
      <c r="AU543" s="236"/>
    </row>
    <row r="544" spans="1:47" ht="15.75" customHeight="1">
      <c r="A544" s="236"/>
      <c r="B544" s="541"/>
      <c r="C544" s="542"/>
      <c r="D544" s="542"/>
      <c r="E544" s="236"/>
      <c r="F544" s="236"/>
      <c r="G544" s="236"/>
      <c r="H544" s="236"/>
      <c r="I544" s="236"/>
      <c r="J544" s="533"/>
      <c r="K544" s="236"/>
      <c r="L544" s="533"/>
      <c r="M544" s="236"/>
      <c r="N544" s="236"/>
      <c r="O544" s="236"/>
      <c r="P544" s="236"/>
      <c r="Q544" s="228"/>
      <c r="R544" s="162"/>
      <c r="S544" s="162"/>
      <c r="T544" s="162"/>
      <c r="U544" s="162"/>
      <c r="V544" s="162"/>
      <c r="W544" s="162"/>
      <c r="X544" s="162"/>
      <c r="Y544" s="162"/>
      <c r="Z544" s="162"/>
      <c r="AA544" s="236"/>
      <c r="AB544" s="236"/>
      <c r="AC544" s="236"/>
      <c r="AD544" s="236"/>
      <c r="AE544" s="236"/>
      <c r="AF544" s="236"/>
      <c r="AG544" s="236"/>
      <c r="AH544" s="236"/>
      <c r="AI544" s="236"/>
      <c r="AJ544" s="236"/>
      <c r="AK544" s="236"/>
      <c r="AL544" s="236"/>
      <c r="AM544" s="236"/>
      <c r="AN544" s="236"/>
      <c r="AO544" s="236"/>
      <c r="AP544" s="236"/>
      <c r="AQ544" s="236"/>
      <c r="AR544" s="236"/>
      <c r="AS544" s="236"/>
      <c r="AT544" s="236"/>
      <c r="AU544" s="236"/>
    </row>
    <row r="545" spans="1:47" ht="15.75" customHeight="1">
      <c r="A545" s="236"/>
      <c r="B545" s="541"/>
      <c r="C545" s="542"/>
      <c r="D545" s="542"/>
      <c r="E545" s="236"/>
      <c r="F545" s="236"/>
      <c r="G545" s="236"/>
      <c r="H545" s="236"/>
      <c r="I545" s="236"/>
      <c r="J545" s="533"/>
      <c r="K545" s="236"/>
      <c r="L545" s="533"/>
      <c r="M545" s="236"/>
      <c r="N545" s="236"/>
      <c r="O545" s="236"/>
      <c r="P545" s="236"/>
      <c r="Q545" s="228"/>
      <c r="R545" s="162"/>
      <c r="S545" s="162"/>
      <c r="T545" s="162"/>
      <c r="U545" s="162"/>
      <c r="V545" s="162"/>
      <c r="W545" s="162"/>
      <c r="X545" s="162"/>
      <c r="Y545" s="162"/>
      <c r="Z545" s="162"/>
      <c r="AA545" s="236"/>
      <c r="AB545" s="236"/>
      <c r="AC545" s="236"/>
      <c r="AD545" s="236"/>
      <c r="AE545" s="236"/>
      <c r="AF545" s="236"/>
      <c r="AG545" s="236"/>
      <c r="AH545" s="236"/>
      <c r="AI545" s="236"/>
      <c r="AJ545" s="236"/>
      <c r="AK545" s="236"/>
      <c r="AL545" s="236"/>
      <c r="AM545" s="236"/>
      <c r="AN545" s="236"/>
      <c r="AO545" s="236"/>
      <c r="AP545" s="236"/>
      <c r="AQ545" s="236"/>
      <c r="AR545" s="236"/>
      <c r="AS545" s="236"/>
      <c r="AT545" s="236"/>
      <c r="AU545" s="236"/>
    </row>
    <row r="546" spans="1:47" ht="15.75" customHeight="1">
      <c r="A546" s="236"/>
      <c r="B546" s="541"/>
      <c r="C546" s="542"/>
      <c r="D546" s="542"/>
      <c r="E546" s="236"/>
      <c r="F546" s="236"/>
      <c r="G546" s="236"/>
      <c r="H546" s="236"/>
      <c r="I546" s="236"/>
      <c r="J546" s="533"/>
      <c r="K546" s="236"/>
      <c r="L546" s="533"/>
      <c r="M546" s="236"/>
      <c r="N546" s="236"/>
      <c r="O546" s="236"/>
      <c r="P546" s="236"/>
      <c r="Q546" s="228"/>
      <c r="R546" s="162"/>
      <c r="S546" s="162"/>
      <c r="T546" s="162"/>
      <c r="U546" s="162"/>
      <c r="V546" s="162"/>
      <c r="W546" s="162"/>
      <c r="X546" s="162"/>
      <c r="Y546" s="162"/>
      <c r="Z546" s="162"/>
      <c r="AA546" s="236"/>
      <c r="AB546" s="236"/>
      <c r="AC546" s="236"/>
      <c r="AD546" s="236"/>
      <c r="AE546" s="236"/>
      <c r="AF546" s="236"/>
      <c r="AG546" s="236"/>
      <c r="AH546" s="236"/>
      <c r="AI546" s="236"/>
      <c r="AJ546" s="236"/>
      <c r="AK546" s="236"/>
      <c r="AL546" s="236"/>
      <c r="AM546" s="236"/>
      <c r="AN546" s="236"/>
      <c r="AO546" s="236"/>
      <c r="AP546" s="236"/>
      <c r="AQ546" s="236"/>
      <c r="AR546" s="236"/>
      <c r="AS546" s="236"/>
      <c r="AT546" s="236"/>
      <c r="AU546" s="236"/>
    </row>
    <row r="547" spans="1:47" ht="15.75" customHeight="1">
      <c r="A547" s="236"/>
      <c r="B547" s="541"/>
      <c r="C547" s="542"/>
      <c r="D547" s="542"/>
      <c r="E547" s="236"/>
      <c r="F547" s="236"/>
      <c r="G547" s="236"/>
      <c r="H547" s="236"/>
      <c r="I547" s="236"/>
      <c r="J547" s="533"/>
      <c r="K547" s="236"/>
      <c r="L547" s="533"/>
      <c r="M547" s="236"/>
      <c r="N547" s="236"/>
      <c r="O547" s="236"/>
      <c r="P547" s="236"/>
      <c r="Q547" s="228"/>
      <c r="R547" s="162"/>
      <c r="S547" s="162"/>
      <c r="T547" s="162"/>
      <c r="U547" s="162"/>
      <c r="V547" s="162"/>
      <c r="W547" s="162"/>
      <c r="X547" s="162"/>
      <c r="Y547" s="162"/>
      <c r="Z547" s="162"/>
      <c r="AA547" s="236"/>
      <c r="AB547" s="236"/>
      <c r="AC547" s="236"/>
      <c r="AD547" s="236"/>
      <c r="AE547" s="236"/>
      <c r="AF547" s="236"/>
      <c r="AG547" s="236"/>
      <c r="AH547" s="236"/>
      <c r="AI547" s="236"/>
      <c r="AJ547" s="236"/>
      <c r="AK547" s="236"/>
      <c r="AL547" s="236"/>
      <c r="AM547" s="236"/>
      <c r="AN547" s="236"/>
      <c r="AO547" s="236"/>
      <c r="AP547" s="236"/>
      <c r="AQ547" s="236"/>
      <c r="AR547" s="236"/>
      <c r="AS547" s="236"/>
      <c r="AT547" s="236"/>
      <c r="AU547" s="236"/>
    </row>
    <row r="548" spans="1:47" ht="15.75" customHeight="1">
      <c r="A548" s="236"/>
      <c r="B548" s="541"/>
      <c r="C548" s="542"/>
      <c r="D548" s="542"/>
      <c r="E548" s="236"/>
      <c r="F548" s="236"/>
      <c r="G548" s="236"/>
      <c r="H548" s="236"/>
      <c r="I548" s="236"/>
      <c r="J548" s="533"/>
      <c r="K548" s="236"/>
      <c r="L548" s="533"/>
      <c r="M548" s="236"/>
      <c r="N548" s="236"/>
      <c r="O548" s="236"/>
      <c r="P548" s="236"/>
      <c r="Q548" s="228"/>
      <c r="R548" s="162"/>
      <c r="S548" s="162"/>
      <c r="T548" s="162"/>
      <c r="U548" s="162"/>
      <c r="V548" s="162"/>
      <c r="W548" s="162"/>
      <c r="X548" s="162"/>
      <c r="Y548" s="162"/>
      <c r="Z548" s="162"/>
      <c r="AA548" s="236"/>
      <c r="AB548" s="236"/>
      <c r="AC548" s="236"/>
      <c r="AD548" s="236"/>
      <c r="AE548" s="236"/>
      <c r="AF548" s="236"/>
      <c r="AG548" s="236"/>
      <c r="AH548" s="236"/>
      <c r="AI548" s="236"/>
      <c r="AJ548" s="236"/>
      <c r="AK548" s="236"/>
      <c r="AL548" s="236"/>
      <c r="AM548" s="236"/>
      <c r="AN548" s="236"/>
      <c r="AO548" s="236"/>
      <c r="AP548" s="236"/>
      <c r="AQ548" s="236"/>
      <c r="AR548" s="236"/>
      <c r="AS548" s="236"/>
      <c r="AT548" s="236"/>
      <c r="AU548" s="236"/>
    </row>
    <row r="549" spans="1:47" ht="15.75" customHeight="1">
      <c r="A549" s="236"/>
      <c r="B549" s="541"/>
      <c r="C549" s="542"/>
      <c r="D549" s="542"/>
      <c r="E549" s="236"/>
      <c r="F549" s="236"/>
      <c r="G549" s="236"/>
      <c r="H549" s="236"/>
      <c r="I549" s="236"/>
      <c r="J549" s="533"/>
      <c r="K549" s="236"/>
      <c r="L549" s="533"/>
      <c r="M549" s="236"/>
      <c r="N549" s="236"/>
      <c r="O549" s="236"/>
      <c r="P549" s="236"/>
      <c r="Q549" s="228"/>
      <c r="R549" s="162"/>
      <c r="S549" s="162"/>
      <c r="T549" s="162"/>
      <c r="U549" s="162"/>
      <c r="V549" s="162"/>
      <c r="W549" s="162"/>
      <c r="X549" s="162"/>
      <c r="Y549" s="162"/>
      <c r="Z549" s="162"/>
      <c r="AA549" s="236"/>
      <c r="AB549" s="236"/>
      <c r="AC549" s="236"/>
      <c r="AD549" s="236"/>
      <c r="AE549" s="236"/>
      <c r="AF549" s="236"/>
      <c r="AG549" s="236"/>
      <c r="AH549" s="236"/>
      <c r="AI549" s="236"/>
      <c r="AJ549" s="236"/>
      <c r="AK549" s="236"/>
      <c r="AL549" s="236"/>
      <c r="AM549" s="236"/>
      <c r="AN549" s="236"/>
      <c r="AO549" s="236"/>
      <c r="AP549" s="236"/>
      <c r="AQ549" s="236"/>
      <c r="AR549" s="236"/>
      <c r="AS549" s="236"/>
      <c r="AT549" s="236"/>
      <c r="AU549" s="236"/>
    </row>
    <row r="550" spans="1:47" ht="15.75" customHeight="1">
      <c r="A550" s="236"/>
      <c r="B550" s="541"/>
      <c r="C550" s="542"/>
      <c r="D550" s="542"/>
      <c r="E550" s="236"/>
      <c r="F550" s="236"/>
      <c r="G550" s="236"/>
      <c r="H550" s="236"/>
      <c r="I550" s="236"/>
      <c r="J550" s="533"/>
      <c r="K550" s="236"/>
      <c r="L550" s="533"/>
      <c r="M550" s="236"/>
      <c r="N550" s="236"/>
      <c r="O550" s="236"/>
      <c r="P550" s="236"/>
      <c r="Q550" s="228"/>
      <c r="R550" s="162"/>
      <c r="S550" s="162"/>
      <c r="T550" s="162"/>
      <c r="U550" s="162"/>
      <c r="V550" s="162"/>
      <c r="W550" s="162"/>
      <c r="X550" s="162"/>
      <c r="Y550" s="162"/>
      <c r="Z550" s="162"/>
      <c r="AA550" s="236"/>
      <c r="AB550" s="236"/>
      <c r="AC550" s="236"/>
      <c r="AD550" s="236"/>
      <c r="AE550" s="236"/>
      <c r="AF550" s="236"/>
      <c r="AG550" s="236"/>
      <c r="AH550" s="236"/>
      <c r="AI550" s="236"/>
      <c r="AJ550" s="236"/>
      <c r="AK550" s="236"/>
      <c r="AL550" s="236"/>
      <c r="AM550" s="236"/>
      <c r="AN550" s="236"/>
      <c r="AO550" s="236"/>
      <c r="AP550" s="236"/>
      <c r="AQ550" s="236"/>
      <c r="AR550" s="236"/>
      <c r="AS550" s="236"/>
      <c r="AT550" s="236"/>
      <c r="AU550" s="236"/>
    </row>
    <row r="551" spans="1:47" ht="15.75" customHeight="1">
      <c r="A551" s="236"/>
      <c r="B551" s="541"/>
      <c r="C551" s="542"/>
      <c r="D551" s="542"/>
      <c r="E551" s="236"/>
      <c r="F551" s="236"/>
      <c r="G551" s="236"/>
      <c r="H551" s="236"/>
      <c r="I551" s="236"/>
      <c r="J551" s="533"/>
      <c r="K551" s="236"/>
      <c r="L551" s="533"/>
      <c r="M551" s="236"/>
      <c r="N551" s="236"/>
      <c r="O551" s="236"/>
      <c r="P551" s="236"/>
      <c r="Q551" s="228"/>
      <c r="R551" s="162"/>
      <c r="S551" s="162"/>
      <c r="T551" s="162"/>
      <c r="U551" s="162"/>
      <c r="V551" s="162"/>
      <c r="W551" s="162"/>
      <c r="X551" s="162"/>
      <c r="Y551" s="162"/>
      <c r="Z551" s="162"/>
      <c r="AA551" s="236"/>
      <c r="AB551" s="236"/>
      <c r="AC551" s="236"/>
      <c r="AD551" s="236"/>
      <c r="AE551" s="236"/>
      <c r="AF551" s="236"/>
      <c r="AG551" s="236"/>
      <c r="AH551" s="236"/>
      <c r="AI551" s="236"/>
      <c r="AJ551" s="236"/>
      <c r="AK551" s="236"/>
      <c r="AL551" s="236"/>
      <c r="AM551" s="236"/>
      <c r="AN551" s="236"/>
      <c r="AO551" s="236"/>
      <c r="AP551" s="236"/>
      <c r="AQ551" s="236"/>
      <c r="AR551" s="236"/>
      <c r="AS551" s="236"/>
      <c r="AT551" s="236"/>
      <c r="AU551" s="236"/>
    </row>
    <row r="552" spans="1:47" ht="15.75" customHeight="1">
      <c r="A552" s="236"/>
      <c r="B552" s="541"/>
      <c r="C552" s="542"/>
      <c r="D552" s="542"/>
      <c r="E552" s="236"/>
      <c r="F552" s="236"/>
      <c r="G552" s="236"/>
      <c r="H552" s="236"/>
      <c r="I552" s="236"/>
      <c r="J552" s="533"/>
      <c r="K552" s="236"/>
      <c r="L552" s="533"/>
      <c r="M552" s="236"/>
      <c r="N552" s="236"/>
      <c r="O552" s="236"/>
      <c r="P552" s="236"/>
      <c r="Q552" s="228"/>
      <c r="R552" s="162"/>
      <c r="S552" s="162"/>
      <c r="T552" s="162"/>
      <c r="U552" s="162"/>
      <c r="V552" s="162"/>
      <c r="W552" s="162"/>
      <c r="X552" s="162"/>
      <c r="Y552" s="162"/>
      <c r="Z552" s="162"/>
      <c r="AA552" s="236"/>
      <c r="AB552" s="236"/>
      <c r="AC552" s="236"/>
      <c r="AD552" s="236"/>
      <c r="AE552" s="236"/>
      <c r="AF552" s="236"/>
      <c r="AG552" s="236"/>
      <c r="AH552" s="236"/>
      <c r="AI552" s="236"/>
      <c r="AJ552" s="236"/>
      <c r="AK552" s="236"/>
      <c r="AL552" s="236"/>
      <c r="AM552" s="236"/>
      <c r="AN552" s="236"/>
      <c r="AO552" s="236"/>
      <c r="AP552" s="236"/>
      <c r="AQ552" s="236"/>
      <c r="AR552" s="236"/>
      <c r="AS552" s="236"/>
      <c r="AT552" s="236"/>
      <c r="AU552" s="236"/>
    </row>
    <row r="553" spans="1:47" ht="15.75" customHeight="1">
      <c r="A553" s="236"/>
      <c r="B553" s="541"/>
      <c r="C553" s="542"/>
      <c r="D553" s="542"/>
      <c r="E553" s="236"/>
      <c r="F553" s="236"/>
      <c r="G553" s="236"/>
      <c r="H553" s="236"/>
      <c r="I553" s="236"/>
      <c r="J553" s="533"/>
      <c r="K553" s="236"/>
      <c r="L553" s="533"/>
      <c r="M553" s="236"/>
      <c r="N553" s="236"/>
      <c r="O553" s="236"/>
      <c r="P553" s="236"/>
      <c r="Q553" s="228"/>
      <c r="R553" s="162"/>
      <c r="S553" s="162"/>
      <c r="T553" s="162"/>
      <c r="U553" s="162"/>
      <c r="V553" s="162"/>
      <c r="W553" s="162"/>
      <c r="X553" s="162"/>
      <c r="Y553" s="162"/>
      <c r="Z553" s="162"/>
      <c r="AA553" s="236"/>
      <c r="AB553" s="236"/>
      <c r="AC553" s="236"/>
      <c r="AD553" s="236"/>
      <c r="AE553" s="236"/>
      <c r="AF553" s="236"/>
      <c r="AG553" s="236"/>
      <c r="AH553" s="236"/>
      <c r="AI553" s="236"/>
      <c r="AJ553" s="236"/>
      <c r="AK553" s="236"/>
      <c r="AL553" s="236"/>
      <c r="AM553" s="236"/>
      <c r="AN553" s="236"/>
      <c r="AO553" s="236"/>
      <c r="AP553" s="236"/>
      <c r="AQ553" s="236"/>
      <c r="AR553" s="236"/>
      <c r="AS553" s="236"/>
      <c r="AT553" s="236"/>
      <c r="AU553" s="236"/>
    </row>
    <row r="554" spans="1:47" ht="15.75" customHeight="1">
      <c r="A554" s="236"/>
      <c r="B554" s="541"/>
      <c r="C554" s="542"/>
      <c r="D554" s="542"/>
      <c r="E554" s="236"/>
      <c r="F554" s="236"/>
      <c r="G554" s="236"/>
      <c r="H554" s="236"/>
      <c r="I554" s="236"/>
      <c r="J554" s="533"/>
      <c r="K554" s="236"/>
      <c r="L554" s="533"/>
      <c r="M554" s="236"/>
      <c r="N554" s="236"/>
      <c r="O554" s="236"/>
      <c r="P554" s="236"/>
      <c r="Q554" s="228"/>
      <c r="R554" s="162"/>
      <c r="S554" s="162"/>
      <c r="T554" s="162"/>
      <c r="U554" s="162"/>
      <c r="V554" s="162"/>
      <c r="W554" s="162"/>
      <c r="X554" s="162"/>
      <c r="Y554" s="162"/>
      <c r="Z554" s="162"/>
      <c r="AA554" s="236"/>
      <c r="AB554" s="236"/>
      <c r="AC554" s="236"/>
      <c r="AD554" s="236"/>
      <c r="AE554" s="236"/>
      <c r="AF554" s="236"/>
      <c r="AG554" s="236"/>
      <c r="AH554" s="236"/>
      <c r="AI554" s="236"/>
      <c r="AJ554" s="236"/>
      <c r="AK554" s="236"/>
      <c r="AL554" s="236"/>
      <c r="AM554" s="236"/>
      <c r="AN554" s="236"/>
      <c r="AO554" s="236"/>
      <c r="AP554" s="236"/>
      <c r="AQ554" s="236"/>
      <c r="AR554" s="236"/>
      <c r="AS554" s="236"/>
      <c r="AT554" s="236"/>
      <c r="AU554" s="236"/>
    </row>
    <row r="555" spans="1:47" ht="15.75" customHeight="1">
      <c r="A555" s="236"/>
      <c r="B555" s="541"/>
      <c r="C555" s="542"/>
      <c r="D555" s="542"/>
      <c r="E555" s="236"/>
      <c r="F555" s="236"/>
      <c r="G555" s="236"/>
      <c r="H555" s="236"/>
      <c r="I555" s="236"/>
      <c r="J555" s="533"/>
      <c r="K555" s="236"/>
      <c r="L555" s="533"/>
      <c r="M555" s="236"/>
      <c r="N555" s="236"/>
      <c r="O555" s="236"/>
      <c r="P555" s="236"/>
      <c r="Q555" s="228"/>
      <c r="R555" s="162"/>
      <c r="S555" s="162"/>
      <c r="T555" s="162"/>
      <c r="U555" s="162"/>
      <c r="V555" s="162"/>
      <c r="W555" s="162"/>
      <c r="X555" s="162"/>
      <c r="Y555" s="162"/>
      <c r="Z555" s="162"/>
      <c r="AA555" s="236"/>
      <c r="AB555" s="236"/>
      <c r="AC555" s="236"/>
      <c r="AD555" s="236"/>
      <c r="AE555" s="236"/>
      <c r="AF555" s="236"/>
      <c r="AG555" s="236"/>
      <c r="AH555" s="236"/>
      <c r="AI555" s="236"/>
      <c r="AJ555" s="236"/>
      <c r="AK555" s="236"/>
      <c r="AL555" s="236"/>
      <c r="AM555" s="236"/>
      <c r="AN555" s="236"/>
      <c r="AO555" s="236"/>
      <c r="AP555" s="236"/>
      <c r="AQ555" s="236"/>
      <c r="AR555" s="236"/>
      <c r="AS555" s="236"/>
      <c r="AT555" s="236"/>
      <c r="AU555" s="236"/>
    </row>
    <row r="556" spans="1:47" ht="15.75" customHeight="1">
      <c r="A556" s="236"/>
      <c r="B556" s="541"/>
      <c r="C556" s="542"/>
      <c r="D556" s="542"/>
      <c r="E556" s="236"/>
      <c r="F556" s="236"/>
      <c r="G556" s="236"/>
      <c r="H556" s="236"/>
      <c r="I556" s="236"/>
      <c r="J556" s="533"/>
      <c r="K556" s="236"/>
      <c r="L556" s="533"/>
      <c r="M556" s="236"/>
      <c r="N556" s="236"/>
      <c r="O556" s="236"/>
      <c r="P556" s="236"/>
      <c r="Q556" s="228"/>
      <c r="R556" s="162"/>
      <c r="S556" s="162"/>
      <c r="T556" s="162"/>
      <c r="U556" s="162"/>
      <c r="V556" s="162"/>
      <c r="W556" s="162"/>
      <c r="X556" s="162"/>
      <c r="Y556" s="162"/>
      <c r="Z556" s="162"/>
      <c r="AA556" s="236"/>
      <c r="AB556" s="236"/>
      <c r="AC556" s="236"/>
      <c r="AD556" s="236"/>
      <c r="AE556" s="236"/>
      <c r="AF556" s="236"/>
      <c r="AG556" s="236"/>
      <c r="AH556" s="236"/>
      <c r="AI556" s="236"/>
      <c r="AJ556" s="236"/>
      <c r="AK556" s="236"/>
      <c r="AL556" s="236"/>
      <c r="AM556" s="236"/>
      <c r="AN556" s="236"/>
      <c r="AO556" s="236"/>
      <c r="AP556" s="236"/>
      <c r="AQ556" s="236"/>
      <c r="AR556" s="236"/>
      <c r="AS556" s="236"/>
      <c r="AT556" s="236"/>
      <c r="AU556" s="236"/>
    </row>
    <row r="557" spans="1:47" ht="15.75" customHeight="1">
      <c r="A557" s="236"/>
      <c r="B557" s="541"/>
      <c r="C557" s="542"/>
      <c r="D557" s="542"/>
      <c r="E557" s="236"/>
      <c r="F557" s="236"/>
      <c r="G557" s="236"/>
      <c r="H557" s="236"/>
      <c r="I557" s="236"/>
      <c r="J557" s="533"/>
      <c r="K557" s="236"/>
      <c r="L557" s="533"/>
      <c r="M557" s="236"/>
      <c r="N557" s="236"/>
      <c r="O557" s="236"/>
      <c r="P557" s="236"/>
      <c r="Q557" s="228"/>
      <c r="R557" s="162"/>
      <c r="S557" s="162"/>
      <c r="T557" s="162"/>
      <c r="U557" s="162"/>
      <c r="V557" s="162"/>
      <c r="W557" s="162"/>
      <c r="X557" s="162"/>
      <c r="Y557" s="162"/>
      <c r="Z557" s="162"/>
      <c r="AA557" s="236"/>
      <c r="AB557" s="236"/>
      <c r="AC557" s="236"/>
      <c r="AD557" s="236"/>
      <c r="AE557" s="236"/>
      <c r="AF557" s="236"/>
      <c r="AG557" s="236"/>
      <c r="AH557" s="236"/>
      <c r="AI557" s="236"/>
      <c r="AJ557" s="236"/>
      <c r="AK557" s="236"/>
      <c r="AL557" s="236"/>
      <c r="AM557" s="236"/>
      <c r="AN557" s="236"/>
      <c r="AO557" s="236"/>
      <c r="AP557" s="236"/>
      <c r="AQ557" s="236"/>
      <c r="AR557" s="236"/>
      <c r="AS557" s="236"/>
      <c r="AT557" s="236"/>
      <c r="AU557" s="236"/>
    </row>
    <row r="558" spans="1:47" ht="15.75" customHeight="1">
      <c r="A558" s="236"/>
      <c r="B558" s="541"/>
      <c r="C558" s="542"/>
      <c r="D558" s="542"/>
      <c r="E558" s="236"/>
      <c r="F558" s="236"/>
      <c r="G558" s="236"/>
      <c r="H558" s="236"/>
      <c r="I558" s="236"/>
      <c r="J558" s="533"/>
      <c r="K558" s="236"/>
      <c r="L558" s="533"/>
      <c r="M558" s="236"/>
      <c r="N558" s="236"/>
      <c r="O558" s="236"/>
      <c r="P558" s="236"/>
      <c r="Q558" s="228"/>
      <c r="R558" s="162"/>
      <c r="S558" s="162"/>
      <c r="T558" s="162"/>
      <c r="U558" s="162"/>
      <c r="V558" s="162"/>
      <c r="W558" s="162"/>
      <c r="X558" s="162"/>
      <c r="Y558" s="162"/>
      <c r="Z558" s="162"/>
      <c r="AA558" s="236"/>
      <c r="AB558" s="236"/>
      <c r="AC558" s="236"/>
      <c r="AD558" s="236"/>
      <c r="AE558" s="236"/>
      <c r="AF558" s="236"/>
      <c r="AG558" s="236"/>
      <c r="AH558" s="236"/>
      <c r="AI558" s="236"/>
      <c r="AJ558" s="236"/>
      <c r="AK558" s="236"/>
      <c r="AL558" s="236"/>
      <c r="AM558" s="236"/>
      <c r="AN558" s="236"/>
      <c r="AO558" s="236"/>
      <c r="AP558" s="236"/>
      <c r="AQ558" s="236"/>
      <c r="AR558" s="236"/>
      <c r="AS558" s="236"/>
      <c r="AT558" s="236"/>
      <c r="AU558" s="236"/>
    </row>
    <row r="559" spans="1:47" ht="15.75" customHeight="1">
      <c r="A559" s="236"/>
      <c r="B559" s="541"/>
      <c r="C559" s="542"/>
      <c r="D559" s="542"/>
      <c r="E559" s="236"/>
      <c r="F559" s="236"/>
      <c r="G559" s="236"/>
      <c r="H559" s="236"/>
      <c r="I559" s="236"/>
      <c r="J559" s="533"/>
      <c r="K559" s="236"/>
      <c r="L559" s="533"/>
      <c r="M559" s="236"/>
      <c r="N559" s="236"/>
      <c r="O559" s="236"/>
      <c r="P559" s="236"/>
      <c r="Q559" s="228"/>
      <c r="R559" s="162"/>
      <c r="S559" s="162"/>
      <c r="T559" s="162"/>
      <c r="U559" s="162"/>
      <c r="V559" s="162"/>
      <c r="W559" s="162"/>
      <c r="X559" s="162"/>
      <c r="Y559" s="162"/>
      <c r="Z559" s="162"/>
      <c r="AA559" s="236"/>
      <c r="AB559" s="236"/>
      <c r="AC559" s="236"/>
      <c r="AD559" s="236"/>
      <c r="AE559" s="236"/>
      <c r="AF559" s="236"/>
      <c r="AG559" s="236"/>
      <c r="AH559" s="236"/>
      <c r="AI559" s="236"/>
      <c r="AJ559" s="236"/>
      <c r="AK559" s="236"/>
      <c r="AL559" s="236"/>
      <c r="AM559" s="236"/>
      <c r="AN559" s="236"/>
      <c r="AO559" s="236"/>
      <c r="AP559" s="236"/>
      <c r="AQ559" s="236"/>
      <c r="AR559" s="236"/>
      <c r="AS559" s="236"/>
      <c r="AT559" s="236"/>
      <c r="AU559" s="236"/>
    </row>
    <row r="560" spans="1:47" ht="15.75" customHeight="1">
      <c r="A560" s="236"/>
      <c r="B560" s="541"/>
      <c r="C560" s="542"/>
      <c r="D560" s="542"/>
      <c r="E560" s="236"/>
      <c r="F560" s="236"/>
      <c r="G560" s="236"/>
      <c r="H560" s="236"/>
      <c r="I560" s="236"/>
      <c r="J560" s="533"/>
      <c r="K560" s="236"/>
      <c r="L560" s="533"/>
      <c r="M560" s="236"/>
      <c r="N560" s="236"/>
      <c r="O560" s="236"/>
      <c r="P560" s="236"/>
      <c r="Q560" s="228"/>
      <c r="R560" s="162"/>
      <c r="S560" s="162"/>
      <c r="T560" s="162"/>
      <c r="U560" s="162"/>
      <c r="V560" s="162"/>
      <c r="W560" s="162"/>
      <c r="X560" s="162"/>
      <c r="Y560" s="162"/>
      <c r="Z560" s="162"/>
      <c r="AA560" s="236"/>
      <c r="AB560" s="236"/>
      <c r="AC560" s="236"/>
      <c r="AD560" s="236"/>
      <c r="AE560" s="236"/>
      <c r="AF560" s="236"/>
      <c r="AG560" s="236"/>
      <c r="AH560" s="236"/>
      <c r="AI560" s="236"/>
      <c r="AJ560" s="236"/>
      <c r="AK560" s="236"/>
      <c r="AL560" s="236"/>
      <c r="AM560" s="236"/>
      <c r="AN560" s="236"/>
      <c r="AO560" s="236"/>
      <c r="AP560" s="236"/>
      <c r="AQ560" s="236"/>
      <c r="AR560" s="236"/>
      <c r="AS560" s="236"/>
      <c r="AT560" s="236"/>
      <c r="AU560" s="236"/>
    </row>
    <row r="561" spans="1:47" ht="15.75" customHeight="1">
      <c r="A561" s="236"/>
      <c r="B561" s="541"/>
      <c r="C561" s="542"/>
      <c r="D561" s="542"/>
      <c r="E561" s="236"/>
      <c r="F561" s="236"/>
      <c r="G561" s="236"/>
      <c r="H561" s="236"/>
      <c r="I561" s="236"/>
      <c r="J561" s="533"/>
      <c r="K561" s="236"/>
      <c r="L561" s="533"/>
      <c r="M561" s="236"/>
      <c r="N561" s="236"/>
      <c r="O561" s="236"/>
      <c r="P561" s="236"/>
      <c r="Q561" s="228"/>
      <c r="R561" s="162"/>
      <c r="S561" s="162"/>
      <c r="T561" s="162"/>
      <c r="U561" s="162"/>
      <c r="V561" s="162"/>
      <c r="W561" s="162"/>
      <c r="X561" s="162"/>
      <c r="Y561" s="162"/>
      <c r="Z561" s="162"/>
      <c r="AA561" s="236"/>
      <c r="AB561" s="236"/>
      <c r="AC561" s="236"/>
      <c r="AD561" s="236"/>
      <c r="AE561" s="236"/>
      <c r="AF561" s="236"/>
      <c r="AG561" s="236"/>
      <c r="AH561" s="236"/>
      <c r="AI561" s="236"/>
      <c r="AJ561" s="236"/>
      <c r="AK561" s="236"/>
      <c r="AL561" s="236"/>
      <c r="AM561" s="236"/>
      <c r="AN561" s="236"/>
      <c r="AO561" s="236"/>
      <c r="AP561" s="236"/>
      <c r="AQ561" s="236"/>
      <c r="AR561" s="236"/>
      <c r="AS561" s="236"/>
      <c r="AT561" s="236"/>
      <c r="AU561" s="236"/>
    </row>
    <row r="562" spans="1:47" ht="15.75" customHeight="1">
      <c r="A562" s="236"/>
      <c r="B562" s="541"/>
      <c r="C562" s="542"/>
      <c r="D562" s="542"/>
      <c r="E562" s="236"/>
      <c r="F562" s="236"/>
      <c r="G562" s="236"/>
      <c r="H562" s="236"/>
      <c r="I562" s="236"/>
      <c r="J562" s="533"/>
      <c r="K562" s="236"/>
      <c r="L562" s="533"/>
      <c r="M562" s="236"/>
      <c r="N562" s="236"/>
      <c r="O562" s="236"/>
      <c r="P562" s="236"/>
      <c r="Q562" s="228"/>
      <c r="R562" s="162"/>
      <c r="S562" s="162"/>
      <c r="T562" s="162"/>
      <c r="U562" s="162"/>
      <c r="V562" s="162"/>
      <c r="W562" s="162"/>
      <c r="X562" s="162"/>
      <c r="Y562" s="162"/>
      <c r="Z562" s="162"/>
      <c r="AA562" s="236"/>
      <c r="AB562" s="236"/>
      <c r="AC562" s="236"/>
      <c r="AD562" s="236"/>
      <c r="AE562" s="236"/>
      <c r="AF562" s="236"/>
      <c r="AG562" s="236"/>
      <c r="AH562" s="236"/>
      <c r="AI562" s="236"/>
      <c r="AJ562" s="236"/>
      <c r="AK562" s="236"/>
      <c r="AL562" s="236"/>
      <c r="AM562" s="236"/>
      <c r="AN562" s="236"/>
      <c r="AO562" s="236"/>
      <c r="AP562" s="236"/>
      <c r="AQ562" s="236"/>
      <c r="AR562" s="236"/>
      <c r="AS562" s="236"/>
      <c r="AT562" s="236"/>
      <c r="AU562" s="236"/>
    </row>
    <row r="563" spans="1:47" ht="15.75" customHeight="1">
      <c r="A563" s="236"/>
      <c r="B563" s="541"/>
      <c r="C563" s="542"/>
      <c r="D563" s="542"/>
      <c r="E563" s="236"/>
      <c r="F563" s="236"/>
      <c r="G563" s="236"/>
      <c r="H563" s="236"/>
      <c r="I563" s="236"/>
      <c r="J563" s="533"/>
      <c r="K563" s="236"/>
      <c r="L563" s="533"/>
      <c r="M563" s="236"/>
      <c r="N563" s="236"/>
      <c r="O563" s="236"/>
      <c r="P563" s="236"/>
      <c r="Q563" s="228"/>
      <c r="R563" s="162"/>
      <c r="S563" s="162"/>
      <c r="T563" s="162"/>
      <c r="U563" s="162"/>
      <c r="V563" s="162"/>
      <c r="W563" s="162"/>
      <c r="X563" s="162"/>
      <c r="Y563" s="162"/>
      <c r="Z563" s="162"/>
      <c r="AA563" s="236"/>
      <c r="AB563" s="236"/>
      <c r="AC563" s="236"/>
      <c r="AD563" s="236"/>
      <c r="AE563" s="236"/>
      <c r="AF563" s="236"/>
      <c r="AG563" s="236"/>
      <c r="AH563" s="236"/>
      <c r="AI563" s="236"/>
      <c r="AJ563" s="236"/>
      <c r="AK563" s="236"/>
      <c r="AL563" s="236"/>
      <c r="AM563" s="236"/>
      <c r="AN563" s="236"/>
      <c r="AO563" s="236"/>
      <c r="AP563" s="236"/>
      <c r="AQ563" s="236"/>
      <c r="AR563" s="236"/>
      <c r="AS563" s="236"/>
      <c r="AT563" s="236"/>
      <c r="AU563" s="236"/>
    </row>
    <row r="564" spans="1:47" ht="15.75" customHeight="1">
      <c r="A564" s="236"/>
      <c r="B564" s="541"/>
      <c r="C564" s="542"/>
      <c r="D564" s="542"/>
      <c r="E564" s="236"/>
      <c r="F564" s="236"/>
      <c r="G564" s="236"/>
      <c r="H564" s="236"/>
      <c r="I564" s="236"/>
      <c r="J564" s="533"/>
      <c r="K564" s="236"/>
      <c r="L564" s="533"/>
      <c r="M564" s="236"/>
      <c r="N564" s="236"/>
      <c r="O564" s="236"/>
      <c r="P564" s="236"/>
      <c r="Q564" s="228"/>
      <c r="R564" s="162"/>
      <c r="S564" s="162"/>
      <c r="T564" s="162"/>
      <c r="U564" s="162"/>
      <c r="V564" s="162"/>
      <c r="W564" s="162"/>
      <c r="X564" s="162"/>
      <c r="Y564" s="162"/>
      <c r="Z564" s="162"/>
      <c r="AA564" s="236"/>
      <c r="AB564" s="236"/>
      <c r="AC564" s="236"/>
      <c r="AD564" s="236"/>
      <c r="AE564" s="236"/>
      <c r="AF564" s="236"/>
      <c r="AG564" s="236"/>
      <c r="AH564" s="236"/>
      <c r="AI564" s="236"/>
      <c r="AJ564" s="236"/>
      <c r="AK564" s="236"/>
      <c r="AL564" s="236"/>
      <c r="AM564" s="236"/>
      <c r="AN564" s="236"/>
      <c r="AO564" s="236"/>
      <c r="AP564" s="236"/>
      <c r="AQ564" s="236"/>
      <c r="AR564" s="236"/>
      <c r="AS564" s="236"/>
      <c r="AT564" s="236"/>
      <c r="AU564" s="236"/>
    </row>
    <row r="565" spans="1:47" ht="15.75" customHeight="1">
      <c r="A565" s="236"/>
      <c r="B565" s="541"/>
      <c r="C565" s="542"/>
      <c r="D565" s="542"/>
      <c r="E565" s="236"/>
      <c r="F565" s="236"/>
      <c r="G565" s="236"/>
      <c r="H565" s="236"/>
      <c r="I565" s="236"/>
      <c r="J565" s="533"/>
      <c r="K565" s="236"/>
      <c r="L565" s="533"/>
      <c r="M565" s="236"/>
      <c r="N565" s="236"/>
      <c r="O565" s="236"/>
      <c r="P565" s="236"/>
      <c r="Q565" s="228"/>
      <c r="R565" s="162"/>
      <c r="S565" s="162"/>
      <c r="T565" s="162"/>
      <c r="U565" s="162"/>
      <c r="V565" s="162"/>
      <c r="W565" s="162"/>
      <c r="X565" s="162"/>
      <c r="Y565" s="162"/>
      <c r="Z565" s="162"/>
      <c r="AA565" s="236"/>
      <c r="AB565" s="236"/>
      <c r="AC565" s="236"/>
      <c r="AD565" s="236"/>
      <c r="AE565" s="236"/>
      <c r="AF565" s="236"/>
      <c r="AG565" s="236"/>
      <c r="AH565" s="236"/>
      <c r="AI565" s="236"/>
      <c r="AJ565" s="236"/>
      <c r="AK565" s="236"/>
      <c r="AL565" s="236"/>
      <c r="AM565" s="236"/>
      <c r="AN565" s="236"/>
      <c r="AO565" s="236"/>
      <c r="AP565" s="236"/>
      <c r="AQ565" s="236"/>
      <c r="AR565" s="236"/>
      <c r="AS565" s="236"/>
      <c r="AT565" s="236"/>
      <c r="AU565" s="236"/>
    </row>
    <row r="566" spans="1:47" ht="15.75" customHeight="1">
      <c r="A566" s="236"/>
      <c r="B566" s="541"/>
      <c r="C566" s="542"/>
      <c r="D566" s="542"/>
      <c r="E566" s="236"/>
      <c r="F566" s="236"/>
      <c r="G566" s="236"/>
      <c r="H566" s="236"/>
      <c r="I566" s="236"/>
      <c r="J566" s="533"/>
      <c r="K566" s="236"/>
      <c r="L566" s="533"/>
      <c r="M566" s="236"/>
      <c r="N566" s="236"/>
      <c r="O566" s="236"/>
      <c r="P566" s="236"/>
      <c r="Q566" s="228"/>
      <c r="R566" s="162"/>
      <c r="S566" s="162"/>
      <c r="T566" s="162"/>
      <c r="U566" s="162"/>
      <c r="V566" s="162"/>
      <c r="W566" s="162"/>
      <c r="X566" s="162"/>
      <c r="Y566" s="162"/>
      <c r="Z566" s="162"/>
      <c r="AA566" s="236"/>
      <c r="AB566" s="236"/>
      <c r="AC566" s="236"/>
      <c r="AD566" s="236"/>
      <c r="AE566" s="236"/>
      <c r="AF566" s="236"/>
      <c r="AG566" s="236"/>
      <c r="AH566" s="236"/>
      <c r="AI566" s="236"/>
      <c r="AJ566" s="236"/>
      <c r="AK566" s="236"/>
      <c r="AL566" s="236"/>
      <c r="AM566" s="236"/>
      <c r="AN566" s="236"/>
      <c r="AO566" s="236"/>
      <c r="AP566" s="236"/>
      <c r="AQ566" s="236"/>
      <c r="AR566" s="236"/>
      <c r="AS566" s="236"/>
      <c r="AT566" s="236"/>
      <c r="AU566" s="236"/>
    </row>
    <row r="567" spans="1:47" ht="15.75" customHeight="1">
      <c r="A567" s="236"/>
      <c r="B567" s="541"/>
      <c r="C567" s="542"/>
      <c r="D567" s="542"/>
      <c r="E567" s="236"/>
      <c r="F567" s="236"/>
      <c r="G567" s="236"/>
      <c r="H567" s="236"/>
      <c r="I567" s="236"/>
      <c r="J567" s="533"/>
      <c r="K567" s="236"/>
      <c r="L567" s="533"/>
      <c r="M567" s="236"/>
      <c r="N567" s="236"/>
      <c r="O567" s="236"/>
      <c r="P567" s="236"/>
      <c r="Q567" s="228"/>
      <c r="R567" s="162"/>
      <c r="S567" s="162"/>
      <c r="T567" s="162"/>
      <c r="U567" s="162"/>
      <c r="V567" s="162"/>
      <c r="W567" s="162"/>
      <c r="X567" s="162"/>
      <c r="Y567" s="162"/>
      <c r="Z567" s="162"/>
      <c r="AA567" s="236"/>
      <c r="AB567" s="236"/>
      <c r="AC567" s="236"/>
      <c r="AD567" s="236"/>
      <c r="AE567" s="236"/>
      <c r="AF567" s="236"/>
      <c r="AG567" s="236"/>
      <c r="AH567" s="236"/>
      <c r="AI567" s="236"/>
      <c r="AJ567" s="236"/>
      <c r="AK567" s="236"/>
      <c r="AL567" s="236"/>
      <c r="AM567" s="236"/>
      <c r="AN567" s="236"/>
      <c r="AO567" s="236"/>
      <c r="AP567" s="236"/>
      <c r="AQ567" s="236"/>
      <c r="AR567" s="236"/>
      <c r="AS567" s="236"/>
      <c r="AT567" s="236"/>
      <c r="AU567" s="236"/>
    </row>
    <row r="568" spans="1:47" ht="15.75" customHeight="1">
      <c r="A568" s="236"/>
      <c r="B568" s="541"/>
      <c r="C568" s="542"/>
      <c r="D568" s="542"/>
      <c r="E568" s="236"/>
      <c r="F568" s="236"/>
      <c r="G568" s="236"/>
      <c r="H568" s="236"/>
      <c r="I568" s="236"/>
      <c r="J568" s="533"/>
      <c r="K568" s="236"/>
      <c r="L568" s="533"/>
      <c r="M568" s="236"/>
      <c r="N568" s="236"/>
      <c r="O568" s="236"/>
      <c r="P568" s="236"/>
      <c r="Q568" s="228"/>
      <c r="R568" s="162"/>
      <c r="S568" s="162"/>
      <c r="T568" s="162"/>
      <c r="U568" s="162"/>
      <c r="V568" s="162"/>
      <c r="W568" s="162"/>
      <c r="X568" s="162"/>
      <c r="Y568" s="162"/>
      <c r="Z568" s="162"/>
      <c r="AA568" s="236"/>
      <c r="AB568" s="236"/>
      <c r="AC568" s="236"/>
      <c r="AD568" s="236"/>
      <c r="AE568" s="236"/>
      <c r="AF568" s="236"/>
      <c r="AG568" s="236"/>
      <c r="AH568" s="236"/>
      <c r="AI568" s="236"/>
      <c r="AJ568" s="236"/>
      <c r="AK568" s="236"/>
      <c r="AL568" s="236"/>
      <c r="AM568" s="236"/>
      <c r="AN568" s="236"/>
      <c r="AO568" s="236"/>
      <c r="AP568" s="236"/>
      <c r="AQ568" s="236"/>
      <c r="AR568" s="236"/>
      <c r="AS568" s="236"/>
      <c r="AT568" s="236"/>
      <c r="AU568" s="236"/>
    </row>
    <row r="569" spans="1:47" ht="15.75" customHeight="1">
      <c r="A569" s="236"/>
      <c r="B569" s="541"/>
      <c r="C569" s="542"/>
      <c r="D569" s="542"/>
      <c r="E569" s="236"/>
      <c r="F569" s="236"/>
      <c r="G569" s="236"/>
      <c r="H569" s="236"/>
      <c r="I569" s="236"/>
      <c r="J569" s="533"/>
      <c r="K569" s="236"/>
      <c r="L569" s="533"/>
      <c r="M569" s="236"/>
      <c r="N569" s="236"/>
      <c r="O569" s="236"/>
      <c r="P569" s="236"/>
      <c r="Q569" s="228"/>
      <c r="R569" s="162"/>
      <c r="S569" s="162"/>
      <c r="T569" s="162"/>
      <c r="U569" s="162"/>
      <c r="V569" s="162"/>
      <c r="W569" s="162"/>
      <c r="X569" s="162"/>
      <c r="Y569" s="162"/>
      <c r="Z569" s="162"/>
      <c r="AA569" s="236"/>
      <c r="AB569" s="236"/>
      <c r="AC569" s="236"/>
      <c r="AD569" s="236"/>
      <c r="AE569" s="236"/>
      <c r="AF569" s="236"/>
      <c r="AG569" s="236"/>
      <c r="AH569" s="236"/>
      <c r="AI569" s="236"/>
      <c r="AJ569" s="236"/>
      <c r="AK569" s="236"/>
      <c r="AL569" s="236"/>
      <c r="AM569" s="236"/>
      <c r="AN569" s="236"/>
      <c r="AO569" s="236"/>
      <c r="AP569" s="236"/>
      <c r="AQ569" s="236"/>
      <c r="AR569" s="236"/>
      <c r="AS569" s="236"/>
      <c r="AT569" s="236"/>
      <c r="AU569" s="236"/>
    </row>
    <row r="570" spans="1:47" ht="15.75" customHeight="1">
      <c r="A570" s="236"/>
      <c r="B570" s="541"/>
      <c r="C570" s="542"/>
      <c r="D570" s="542"/>
      <c r="E570" s="236"/>
      <c r="F570" s="236"/>
      <c r="G570" s="236"/>
      <c r="H570" s="236"/>
      <c r="I570" s="236"/>
      <c r="J570" s="533"/>
      <c r="K570" s="236"/>
      <c r="L570" s="533"/>
      <c r="M570" s="236"/>
      <c r="N570" s="236"/>
      <c r="O570" s="236"/>
      <c r="P570" s="236"/>
      <c r="Q570" s="228"/>
      <c r="R570" s="162"/>
      <c r="S570" s="162"/>
      <c r="T570" s="162"/>
      <c r="U570" s="162"/>
      <c r="V570" s="162"/>
      <c r="W570" s="162"/>
      <c r="X570" s="162"/>
      <c r="Y570" s="162"/>
      <c r="Z570" s="162"/>
      <c r="AA570" s="236"/>
      <c r="AB570" s="236"/>
      <c r="AC570" s="236"/>
      <c r="AD570" s="236"/>
      <c r="AE570" s="236"/>
      <c r="AF570" s="236"/>
      <c r="AG570" s="236"/>
      <c r="AH570" s="236"/>
      <c r="AI570" s="236"/>
      <c r="AJ570" s="236"/>
      <c r="AK570" s="236"/>
      <c r="AL570" s="236"/>
      <c r="AM570" s="236"/>
      <c r="AN570" s="236"/>
      <c r="AO570" s="236"/>
      <c r="AP570" s="236"/>
      <c r="AQ570" s="236"/>
      <c r="AR570" s="236"/>
      <c r="AS570" s="236"/>
      <c r="AT570" s="236"/>
      <c r="AU570" s="236"/>
    </row>
    <row r="571" spans="1:47" ht="15.75" customHeight="1">
      <c r="A571" s="236"/>
      <c r="B571" s="541"/>
      <c r="C571" s="542"/>
      <c r="D571" s="542"/>
      <c r="E571" s="236"/>
      <c r="F571" s="236"/>
      <c r="G571" s="236"/>
      <c r="H571" s="236"/>
      <c r="I571" s="236"/>
      <c r="J571" s="533"/>
      <c r="K571" s="236"/>
      <c r="L571" s="533"/>
      <c r="M571" s="236"/>
      <c r="N571" s="236"/>
      <c r="O571" s="236"/>
      <c r="P571" s="236"/>
      <c r="Q571" s="228"/>
      <c r="R571" s="162"/>
      <c r="S571" s="162"/>
      <c r="T571" s="162"/>
      <c r="U571" s="162"/>
      <c r="V571" s="162"/>
      <c r="W571" s="162"/>
      <c r="X571" s="162"/>
      <c r="Y571" s="162"/>
      <c r="Z571" s="162"/>
      <c r="AA571" s="236"/>
      <c r="AB571" s="236"/>
      <c r="AC571" s="236"/>
      <c r="AD571" s="236"/>
      <c r="AE571" s="236"/>
      <c r="AF571" s="236"/>
      <c r="AG571" s="236"/>
      <c r="AH571" s="236"/>
      <c r="AI571" s="236"/>
      <c r="AJ571" s="236"/>
      <c r="AK571" s="236"/>
      <c r="AL571" s="236"/>
      <c r="AM571" s="236"/>
      <c r="AN571" s="236"/>
      <c r="AO571" s="236"/>
      <c r="AP571" s="236"/>
      <c r="AQ571" s="236"/>
      <c r="AR571" s="236"/>
      <c r="AS571" s="236"/>
      <c r="AT571" s="236"/>
      <c r="AU571" s="236"/>
    </row>
    <row r="572" spans="1:47" ht="15.75" customHeight="1">
      <c r="A572" s="236"/>
      <c r="B572" s="541"/>
      <c r="C572" s="542"/>
      <c r="D572" s="542"/>
      <c r="E572" s="236"/>
      <c r="F572" s="236"/>
      <c r="G572" s="236"/>
      <c r="H572" s="236"/>
      <c r="I572" s="236"/>
      <c r="J572" s="533"/>
      <c r="K572" s="236"/>
      <c r="L572" s="533"/>
      <c r="M572" s="236"/>
      <c r="N572" s="236"/>
      <c r="O572" s="236"/>
      <c r="P572" s="236"/>
      <c r="Q572" s="228"/>
      <c r="R572" s="162"/>
      <c r="S572" s="162"/>
      <c r="T572" s="162"/>
      <c r="U572" s="162"/>
      <c r="V572" s="162"/>
      <c r="W572" s="162"/>
      <c r="X572" s="162"/>
      <c r="Y572" s="162"/>
      <c r="Z572" s="162"/>
      <c r="AA572" s="236"/>
      <c r="AB572" s="236"/>
      <c r="AC572" s="236"/>
      <c r="AD572" s="236"/>
      <c r="AE572" s="236"/>
      <c r="AF572" s="236"/>
      <c r="AG572" s="236"/>
      <c r="AH572" s="236"/>
      <c r="AI572" s="236"/>
      <c r="AJ572" s="236"/>
      <c r="AK572" s="236"/>
      <c r="AL572" s="236"/>
      <c r="AM572" s="236"/>
      <c r="AN572" s="236"/>
      <c r="AO572" s="236"/>
      <c r="AP572" s="236"/>
      <c r="AQ572" s="236"/>
      <c r="AR572" s="236"/>
      <c r="AS572" s="236"/>
      <c r="AT572" s="236"/>
      <c r="AU572" s="236"/>
    </row>
    <row r="573" spans="1:47" ht="15.75" customHeight="1">
      <c r="A573" s="236"/>
      <c r="B573" s="541"/>
      <c r="C573" s="542"/>
      <c r="D573" s="542"/>
      <c r="E573" s="236"/>
      <c r="F573" s="236"/>
      <c r="G573" s="236"/>
      <c r="H573" s="236"/>
      <c r="I573" s="236"/>
      <c r="J573" s="533"/>
      <c r="K573" s="236"/>
      <c r="L573" s="533"/>
      <c r="M573" s="236"/>
      <c r="N573" s="236"/>
      <c r="O573" s="236"/>
      <c r="P573" s="236"/>
      <c r="Q573" s="228"/>
      <c r="R573" s="162"/>
      <c r="S573" s="162"/>
      <c r="T573" s="162"/>
      <c r="U573" s="162"/>
      <c r="V573" s="162"/>
      <c r="W573" s="162"/>
      <c r="X573" s="162"/>
      <c r="Y573" s="162"/>
      <c r="Z573" s="162"/>
      <c r="AA573" s="236"/>
      <c r="AB573" s="236"/>
      <c r="AC573" s="236"/>
      <c r="AD573" s="236"/>
      <c r="AE573" s="236"/>
      <c r="AF573" s="236"/>
      <c r="AG573" s="236"/>
      <c r="AH573" s="236"/>
      <c r="AI573" s="236"/>
      <c r="AJ573" s="236"/>
      <c r="AK573" s="236"/>
      <c r="AL573" s="236"/>
      <c r="AM573" s="236"/>
      <c r="AN573" s="236"/>
      <c r="AO573" s="236"/>
      <c r="AP573" s="236"/>
      <c r="AQ573" s="236"/>
      <c r="AR573" s="236"/>
      <c r="AS573" s="236"/>
      <c r="AT573" s="236"/>
      <c r="AU573" s="236"/>
    </row>
    <row r="574" spans="1:47" ht="15.75" customHeight="1">
      <c r="A574" s="236"/>
      <c r="B574" s="541"/>
      <c r="C574" s="542"/>
      <c r="D574" s="542"/>
      <c r="E574" s="236"/>
      <c r="F574" s="236"/>
      <c r="G574" s="236"/>
      <c r="H574" s="236"/>
      <c r="I574" s="236"/>
      <c r="J574" s="533"/>
      <c r="K574" s="236"/>
      <c r="L574" s="533"/>
      <c r="M574" s="236"/>
      <c r="N574" s="236"/>
      <c r="O574" s="236"/>
      <c r="P574" s="236"/>
      <c r="Q574" s="228"/>
      <c r="R574" s="162"/>
      <c r="S574" s="162"/>
      <c r="T574" s="162"/>
      <c r="U574" s="162"/>
      <c r="V574" s="162"/>
      <c r="W574" s="162"/>
      <c r="X574" s="162"/>
      <c r="Y574" s="162"/>
      <c r="Z574" s="162"/>
      <c r="AA574" s="236"/>
      <c r="AB574" s="236"/>
      <c r="AC574" s="236"/>
      <c r="AD574" s="236"/>
      <c r="AE574" s="236"/>
      <c r="AF574" s="236"/>
      <c r="AG574" s="236"/>
      <c r="AH574" s="236"/>
      <c r="AI574" s="236"/>
      <c r="AJ574" s="236"/>
      <c r="AK574" s="236"/>
      <c r="AL574" s="236"/>
      <c r="AM574" s="236"/>
      <c r="AN574" s="236"/>
      <c r="AO574" s="236"/>
      <c r="AP574" s="236"/>
      <c r="AQ574" s="236"/>
      <c r="AR574" s="236"/>
      <c r="AS574" s="236"/>
      <c r="AT574" s="236"/>
      <c r="AU574" s="236"/>
    </row>
    <row r="575" spans="1:47" ht="15.75" customHeight="1">
      <c r="A575" s="236"/>
      <c r="B575" s="541"/>
      <c r="C575" s="542"/>
      <c r="D575" s="542"/>
      <c r="E575" s="236"/>
      <c r="F575" s="236"/>
      <c r="G575" s="236"/>
      <c r="H575" s="236"/>
      <c r="I575" s="236"/>
      <c r="J575" s="533"/>
      <c r="K575" s="236"/>
      <c r="L575" s="533"/>
      <c r="M575" s="236"/>
      <c r="N575" s="236"/>
      <c r="O575" s="236"/>
      <c r="P575" s="236"/>
      <c r="Q575" s="228"/>
      <c r="R575" s="162"/>
      <c r="S575" s="162"/>
      <c r="T575" s="162"/>
      <c r="U575" s="162"/>
      <c r="V575" s="162"/>
      <c r="W575" s="162"/>
      <c r="X575" s="162"/>
      <c r="Y575" s="162"/>
      <c r="Z575" s="162"/>
      <c r="AA575" s="236"/>
      <c r="AB575" s="236"/>
      <c r="AC575" s="236"/>
      <c r="AD575" s="236"/>
      <c r="AE575" s="236"/>
      <c r="AF575" s="236"/>
      <c r="AG575" s="236"/>
      <c r="AH575" s="236"/>
      <c r="AI575" s="236"/>
      <c r="AJ575" s="236"/>
      <c r="AK575" s="236"/>
      <c r="AL575" s="236"/>
      <c r="AM575" s="236"/>
      <c r="AN575" s="236"/>
      <c r="AO575" s="236"/>
      <c r="AP575" s="236"/>
      <c r="AQ575" s="236"/>
      <c r="AR575" s="236"/>
      <c r="AS575" s="236"/>
      <c r="AT575" s="236"/>
      <c r="AU575" s="236"/>
    </row>
    <row r="576" spans="1:47" ht="15.75" customHeight="1">
      <c r="A576" s="236"/>
      <c r="B576" s="541"/>
      <c r="C576" s="542"/>
      <c r="D576" s="542"/>
      <c r="E576" s="236"/>
      <c r="F576" s="236"/>
      <c r="G576" s="236"/>
      <c r="H576" s="236"/>
      <c r="I576" s="236"/>
      <c r="J576" s="533"/>
      <c r="K576" s="236"/>
      <c r="L576" s="533"/>
      <c r="M576" s="236"/>
      <c r="N576" s="236"/>
      <c r="O576" s="236"/>
      <c r="P576" s="236"/>
      <c r="Q576" s="228"/>
      <c r="R576" s="162"/>
      <c r="S576" s="162"/>
      <c r="T576" s="162"/>
      <c r="U576" s="162"/>
      <c r="V576" s="162"/>
      <c r="W576" s="162"/>
      <c r="X576" s="162"/>
      <c r="Y576" s="162"/>
      <c r="Z576" s="162"/>
      <c r="AA576" s="236"/>
      <c r="AB576" s="236"/>
      <c r="AC576" s="236"/>
      <c r="AD576" s="236"/>
      <c r="AE576" s="236"/>
      <c r="AF576" s="236"/>
      <c r="AG576" s="236"/>
      <c r="AH576" s="236"/>
      <c r="AI576" s="236"/>
      <c r="AJ576" s="236"/>
      <c r="AK576" s="236"/>
      <c r="AL576" s="236"/>
      <c r="AM576" s="236"/>
      <c r="AN576" s="236"/>
      <c r="AO576" s="236"/>
      <c r="AP576" s="236"/>
      <c r="AQ576" s="236"/>
      <c r="AR576" s="236"/>
      <c r="AS576" s="236"/>
      <c r="AT576" s="236"/>
      <c r="AU576" s="236"/>
    </row>
    <row r="577" spans="1:47" ht="15.75" customHeight="1">
      <c r="A577" s="236"/>
      <c r="B577" s="541"/>
      <c r="C577" s="542"/>
      <c r="D577" s="542"/>
      <c r="E577" s="236"/>
      <c r="F577" s="236"/>
      <c r="G577" s="236"/>
      <c r="H577" s="236"/>
      <c r="I577" s="236"/>
      <c r="J577" s="533"/>
      <c r="K577" s="236"/>
      <c r="L577" s="533"/>
      <c r="M577" s="236"/>
      <c r="N577" s="236"/>
      <c r="O577" s="236"/>
      <c r="P577" s="236"/>
      <c r="Q577" s="228"/>
      <c r="R577" s="162"/>
      <c r="S577" s="162"/>
      <c r="T577" s="162"/>
      <c r="U577" s="162"/>
      <c r="V577" s="162"/>
      <c r="W577" s="162"/>
      <c r="X577" s="162"/>
      <c r="Y577" s="162"/>
      <c r="Z577" s="162"/>
      <c r="AA577" s="236"/>
      <c r="AB577" s="236"/>
      <c r="AC577" s="236"/>
      <c r="AD577" s="236"/>
      <c r="AE577" s="236"/>
      <c r="AF577" s="236"/>
      <c r="AG577" s="236"/>
      <c r="AH577" s="236"/>
      <c r="AI577" s="236"/>
      <c r="AJ577" s="236"/>
      <c r="AK577" s="236"/>
      <c r="AL577" s="236"/>
      <c r="AM577" s="236"/>
      <c r="AN577" s="236"/>
      <c r="AO577" s="236"/>
      <c r="AP577" s="236"/>
      <c r="AQ577" s="236"/>
      <c r="AR577" s="236"/>
      <c r="AS577" s="236"/>
      <c r="AT577" s="236"/>
      <c r="AU577" s="236"/>
    </row>
    <row r="578" spans="1:47" ht="15.75" customHeight="1">
      <c r="A578" s="236"/>
      <c r="B578" s="541"/>
      <c r="C578" s="542"/>
      <c r="D578" s="542"/>
      <c r="E578" s="236"/>
      <c r="F578" s="236"/>
      <c r="G578" s="236"/>
      <c r="H578" s="236"/>
      <c r="I578" s="236"/>
      <c r="J578" s="533"/>
      <c r="K578" s="236"/>
      <c r="L578" s="533"/>
      <c r="M578" s="236"/>
      <c r="N578" s="236"/>
      <c r="O578" s="236"/>
      <c r="P578" s="236"/>
      <c r="Q578" s="228"/>
      <c r="R578" s="162"/>
      <c r="S578" s="162"/>
      <c r="T578" s="162"/>
      <c r="U578" s="162"/>
      <c r="V578" s="162"/>
      <c r="W578" s="162"/>
      <c r="X578" s="162"/>
      <c r="Y578" s="162"/>
      <c r="Z578" s="162"/>
      <c r="AA578" s="236"/>
      <c r="AB578" s="236"/>
      <c r="AC578" s="236"/>
      <c r="AD578" s="236"/>
      <c r="AE578" s="236"/>
      <c r="AF578" s="236"/>
      <c r="AG578" s="236"/>
      <c r="AH578" s="236"/>
      <c r="AI578" s="236"/>
      <c r="AJ578" s="236"/>
      <c r="AK578" s="236"/>
      <c r="AL578" s="236"/>
      <c r="AM578" s="236"/>
      <c r="AN578" s="236"/>
      <c r="AO578" s="236"/>
      <c r="AP578" s="236"/>
      <c r="AQ578" s="236"/>
      <c r="AR578" s="236"/>
      <c r="AS578" s="236"/>
      <c r="AT578" s="236"/>
      <c r="AU578" s="236"/>
    </row>
    <row r="579" spans="1:47" ht="15.75" customHeight="1">
      <c r="A579" s="236"/>
      <c r="B579" s="541"/>
      <c r="C579" s="542"/>
      <c r="D579" s="542"/>
      <c r="E579" s="236"/>
      <c r="F579" s="236"/>
      <c r="G579" s="236"/>
      <c r="H579" s="236"/>
      <c r="I579" s="236"/>
      <c r="J579" s="533"/>
      <c r="K579" s="236"/>
      <c r="L579" s="533"/>
      <c r="M579" s="236"/>
      <c r="N579" s="236"/>
      <c r="O579" s="236"/>
      <c r="P579" s="236"/>
      <c r="Q579" s="228"/>
      <c r="R579" s="162"/>
      <c r="S579" s="162"/>
      <c r="T579" s="162"/>
      <c r="U579" s="162"/>
      <c r="V579" s="162"/>
      <c r="W579" s="162"/>
      <c r="X579" s="162"/>
      <c r="Y579" s="162"/>
      <c r="Z579" s="162"/>
      <c r="AA579" s="236"/>
      <c r="AB579" s="236"/>
      <c r="AC579" s="236"/>
      <c r="AD579" s="236"/>
      <c r="AE579" s="236"/>
      <c r="AF579" s="236"/>
      <c r="AG579" s="236"/>
      <c r="AH579" s="236"/>
      <c r="AI579" s="236"/>
      <c r="AJ579" s="236"/>
      <c r="AK579" s="236"/>
      <c r="AL579" s="236"/>
      <c r="AM579" s="236"/>
      <c r="AN579" s="236"/>
      <c r="AO579" s="236"/>
      <c r="AP579" s="236"/>
      <c r="AQ579" s="236"/>
      <c r="AR579" s="236"/>
      <c r="AS579" s="236"/>
      <c r="AT579" s="236"/>
      <c r="AU579" s="236"/>
    </row>
    <row r="580" spans="1:47" ht="15.75" customHeight="1">
      <c r="A580" s="236"/>
      <c r="B580" s="541"/>
      <c r="C580" s="542"/>
      <c r="D580" s="542"/>
      <c r="E580" s="236"/>
      <c r="F580" s="236"/>
      <c r="G580" s="236"/>
      <c r="H580" s="236"/>
      <c r="I580" s="236"/>
      <c r="J580" s="533"/>
      <c r="K580" s="236"/>
      <c r="L580" s="533"/>
      <c r="M580" s="236"/>
      <c r="N580" s="236"/>
      <c r="O580" s="236"/>
      <c r="P580" s="236"/>
      <c r="Q580" s="228"/>
      <c r="R580" s="162"/>
      <c r="S580" s="162"/>
      <c r="T580" s="162"/>
      <c r="U580" s="162"/>
      <c r="V580" s="162"/>
      <c r="W580" s="162"/>
      <c r="X580" s="162"/>
      <c r="Y580" s="162"/>
      <c r="Z580" s="162"/>
      <c r="AA580" s="236"/>
      <c r="AB580" s="236"/>
      <c r="AC580" s="236"/>
      <c r="AD580" s="236"/>
      <c r="AE580" s="236"/>
      <c r="AF580" s="236"/>
      <c r="AG580" s="236"/>
      <c r="AH580" s="236"/>
      <c r="AI580" s="236"/>
      <c r="AJ580" s="236"/>
      <c r="AK580" s="236"/>
      <c r="AL580" s="236"/>
      <c r="AM580" s="236"/>
      <c r="AN580" s="236"/>
      <c r="AO580" s="236"/>
      <c r="AP580" s="236"/>
      <c r="AQ580" s="236"/>
      <c r="AR580" s="236"/>
      <c r="AS580" s="236"/>
      <c r="AT580" s="236"/>
      <c r="AU580" s="236"/>
    </row>
    <row r="581" spans="1:47" ht="15.75" customHeight="1">
      <c r="A581" s="236"/>
      <c r="B581" s="541"/>
      <c r="C581" s="542"/>
      <c r="D581" s="542"/>
      <c r="E581" s="236"/>
      <c r="F581" s="236"/>
      <c r="G581" s="236"/>
      <c r="H581" s="236"/>
      <c r="I581" s="236"/>
      <c r="J581" s="533"/>
      <c r="K581" s="236"/>
      <c r="L581" s="533"/>
      <c r="M581" s="236"/>
      <c r="N581" s="236"/>
      <c r="O581" s="236"/>
      <c r="P581" s="236"/>
      <c r="Q581" s="228"/>
      <c r="R581" s="162"/>
      <c r="S581" s="162"/>
      <c r="T581" s="162"/>
      <c r="U581" s="162"/>
      <c r="V581" s="162"/>
      <c r="W581" s="162"/>
      <c r="X581" s="162"/>
      <c r="Y581" s="162"/>
      <c r="Z581" s="162"/>
      <c r="AA581" s="236"/>
      <c r="AB581" s="236"/>
      <c r="AC581" s="236"/>
      <c r="AD581" s="236"/>
      <c r="AE581" s="236"/>
      <c r="AF581" s="236"/>
      <c r="AG581" s="236"/>
      <c r="AH581" s="236"/>
      <c r="AI581" s="236"/>
      <c r="AJ581" s="236"/>
      <c r="AK581" s="236"/>
      <c r="AL581" s="236"/>
      <c r="AM581" s="236"/>
      <c r="AN581" s="236"/>
      <c r="AO581" s="236"/>
      <c r="AP581" s="236"/>
      <c r="AQ581" s="236"/>
      <c r="AR581" s="236"/>
      <c r="AS581" s="236"/>
      <c r="AT581" s="236"/>
      <c r="AU581" s="236"/>
    </row>
    <row r="582" spans="1:47" ht="15.75" customHeight="1">
      <c r="A582" s="236"/>
      <c r="B582" s="541"/>
      <c r="C582" s="542"/>
      <c r="D582" s="542"/>
      <c r="E582" s="236"/>
      <c r="F582" s="236"/>
      <c r="G582" s="236"/>
      <c r="H582" s="236"/>
      <c r="I582" s="236"/>
      <c r="J582" s="533"/>
      <c r="K582" s="236"/>
      <c r="L582" s="533"/>
      <c r="M582" s="236"/>
      <c r="N582" s="236"/>
      <c r="O582" s="236"/>
      <c r="P582" s="236"/>
      <c r="Q582" s="228"/>
      <c r="R582" s="162"/>
      <c r="S582" s="162"/>
      <c r="T582" s="162"/>
      <c r="U582" s="162"/>
      <c r="V582" s="162"/>
      <c r="W582" s="162"/>
      <c r="X582" s="162"/>
      <c r="Y582" s="162"/>
      <c r="Z582" s="162"/>
      <c r="AA582" s="236"/>
      <c r="AB582" s="236"/>
      <c r="AC582" s="236"/>
      <c r="AD582" s="236"/>
      <c r="AE582" s="236"/>
      <c r="AF582" s="236"/>
      <c r="AG582" s="236"/>
      <c r="AH582" s="236"/>
      <c r="AI582" s="236"/>
      <c r="AJ582" s="236"/>
      <c r="AK582" s="236"/>
      <c r="AL582" s="236"/>
      <c r="AM582" s="236"/>
      <c r="AN582" s="236"/>
      <c r="AO582" s="236"/>
      <c r="AP582" s="236"/>
      <c r="AQ582" s="236"/>
      <c r="AR582" s="236"/>
      <c r="AS582" s="236"/>
      <c r="AT582" s="236"/>
      <c r="AU582" s="236"/>
    </row>
    <row r="583" spans="1:47" ht="15.75" customHeight="1">
      <c r="A583" s="236"/>
      <c r="B583" s="541"/>
      <c r="C583" s="542"/>
      <c r="D583" s="542"/>
      <c r="E583" s="236"/>
      <c r="F583" s="236"/>
      <c r="G583" s="236"/>
      <c r="H583" s="236"/>
      <c r="I583" s="236"/>
      <c r="J583" s="533"/>
      <c r="K583" s="236"/>
      <c r="L583" s="533"/>
      <c r="M583" s="236"/>
      <c r="N583" s="236"/>
      <c r="O583" s="236"/>
      <c r="P583" s="236"/>
      <c r="Q583" s="228"/>
      <c r="R583" s="162"/>
      <c r="S583" s="162"/>
      <c r="T583" s="162"/>
      <c r="U583" s="162"/>
      <c r="V583" s="162"/>
      <c r="W583" s="162"/>
      <c r="X583" s="162"/>
      <c r="Y583" s="162"/>
      <c r="Z583" s="162"/>
      <c r="AA583" s="236"/>
      <c r="AB583" s="236"/>
      <c r="AC583" s="236"/>
      <c r="AD583" s="236"/>
      <c r="AE583" s="236"/>
      <c r="AF583" s="236"/>
      <c r="AG583" s="236"/>
      <c r="AH583" s="236"/>
      <c r="AI583" s="236"/>
      <c r="AJ583" s="236"/>
      <c r="AK583" s="236"/>
      <c r="AL583" s="236"/>
      <c r="AM583" s="236"/>
      <c r="AN583" s="236"/>
      <c r="AO583" s="236"/>
      <c r="AP583" s="236"/>
      <c r="AQ583" s="236"/>
      <c r="AR583" s="236"/>
      <c r="AS583" s="236"/>
      <c r="AT583" s="236"/>
      <c r="AU583" s="236"/>
    </row>
    <row r="584" spans="1:47" ht="15.75" customHeight="1">
      <c r="A584" s="236"/>
      <c r="B584" s="541"/>
      <c r="C584" s="542"/>
      <c r="D584" s="542"/>
      <c r="E584" s="236"/>
      <c r="F584" s="236"/>
      <c r="G584" s="236"/>
      <c r="H584" s="236"/>
      <c r="I584" s="236"/>
      <c r="J584" s="533"/>
      <c r="K584" s="236"/>
      <c r="L584" s="533"/>
      <c r="M584" s="236"/>
      <c r="N584" s="236"/>
      <c r="O584" s="236"/>
      <c r="P584" s="236"/>
      <c r="Q584" s="228"/>
      <c r="R584" s="162"/>
      <c r="S584" s="162"/>
      <c r="T584" s="162"/>
      <c r="U584" s="162"/>
      <c r="V584" s="162"/>
      <c r="W584" s="162"/>
      <c r="X584" s="162"/>
      <c r="Y584" s="162"/>
      <c r="Z584" s="162"/>
      <c r="AA584" s="236"/>
      <c r="AB584" s="236"/>
      <c r="AC584" s="236"/>
      <c r="AD584" s="236"/>
      <c r="AE584" s="236"/>
      <c r="AF584" s="236"/>
      <c r="AG584" s="236"/>
      <c r="AH584" s="236"/>
      <c r="AI584" s="236"/>
      <c r="AJ584" s="236"/>
      <c r="AK584" s="236"/>
      <c r="AL584" s="236"/>
      <c r="AM584" s="236"/>
      <c r="AN584" s="236"/>
      <c r="AO584" s="236"/>
      <c r="AP584" s="236"/>
      <c r="AQ584" s="236"/>
      <c r="AR584" s="236"/>
      <c r="AS584" s="236"/>
      <c r="AT584" s="236"/>
      <c r="AU584" s="236"/>
    </row>
    <row r="585" spans="1:47" ht="15.75" customHeight="1">
      <c r="A585" s="236"/>
      <c r="B585" s="541"/>
      <c r="C585" s="542"/>
      <c r="D585" s="542"/>
      <c r="E585" s="236"/>
      <c r="F585" s="236"/>
      <c r="G585" s="236"/>
      <c r="H585" s="236"/>
      <c r="I585" s="236"/>
      <c r="J585" s="533"/>
      <c r="K585" s="236"/>
      <c r="L585" s="533"/>
      <c r="M585" s="236"/>
      <c r="N585" s="236"/>
      <c r="O585" s="236"/>
      <c r="P585" s="236"/>
      <c r="Q585" s="228"/>
      <c r="R585" s="162"/>
      <c r="S585" s="162"/>
      <c r="T585" s="162"/>
      <c r="U585" s="162"/>
      <c r="V585" s="162"/>
      <c r="W585" s="162"/>
      <c r="X585" s="162"/>
      <c r="Y585" s="162"/>
      <c r="Z585" s="162"/>
      <c r="AA585" s="236"/>
      <c r="AB585" s="236"/>
      <c r="AC585" s="236"/>
      <c r="AD585" s="236"/>
      <c r="AE585" s="236"/>
      <c r="AF585" s="236"/>
      <c r="AG585" s="236"/>
      <c r="AH585" s="236"/>
      <c r="AI585" s="236"/>
      <c r="AJ585" s="236"/>
      <c r="AK585" s="236"/>
      <c r="AL585" s="236"/>
      <c r="AM585" s="236"/>
      <c r="AN585" s="236"/>
      <c r="AO585" s="236"/>
      <c r="AP585" s="236"/>
      <c r="AQ585" s="236"/>
      <c r="AR585" s="236"/>
      <c r="AS585" s="236"/>
      <c r="AT585" s="236"/>
      <c r="AU585" s="236"/>
    </row>
    <row r="586" spans="1:47" ht="15.75" customHeight="1">
      <c r="A586" s="236"/>
      <c r="B586" s="541"/>
      <c r="C586" s="542"/>
      <c r="D586" s="542"/>
      <c r="E586" s="236"/>
      <c r="F586" s="236"/>
      <c r="G586" s="236"/>
      <c r="H586" s="236"/>
      <c r="I586" s="236"/>
      <c r="J586" s="533"/>
      <c r="K586" s="236"/>
      <c r="L586" s="533"/>
      <c r="M586" s="236"/>
      <c r="N586" s="236"/>
      <c r="O586" s="236"/>
      <c r="P586" s="236"/>
      <c r="Q586" s="228"/>
      <c r="R586" s="162"/>
      <c r="S586" s="162"/>
      <c r="T586" s="162"/>
      <c r="U586" s="162"/>
      <c r="V586" s="162"/>
      <c r="W586" s="162"/>
      <c r="X586" s="162"/>
      <c r="Y586" s="162"/>
      <c r="Z586" s="162"/>
      <c r="AA586" s="236"/>
      <c r="AB586" s="236"/>
      <c r="AC586" s="236"/>
      <c r="AD586" s="236"/>
      <c r="AE586" s="236"/>
      <c r="AF586" s="236"/>
      <c r="AG586" s="236"/>
      <c r="AH586" s="236"/>
      <c r="AI586" s="236"/>
      <c r="AJ586" s="236"/>
      <c r="AK586" s="236"/>
      <c r="AL586" s="236"/>
      <c r="AM586" s="236"/>
      <c r="AN586" s="236"/>
      <c r="AO586" s="236"/>
      <c r="AP586" s="236"/>
      <c r="AQ586" s="236"/>
      <c r="AR586" s="236"/>
      <c r="AS586" s="236"/>
      <c r="AT586" s="236"/>
      <c r="AU586" s="236"/>
    </row>
    <row r="587" spans="1:47" ht="15.75" customHeight="1">
      <c r="A587" s="236"/>
      <c r="B587" s="541"/>
      <c r="C587" s="542"/>
      <c r="D587" s="542"/>
      <c r="E587" s="236"/>
      <c r="F587" s="236"/>
      <c r="G587" s="236"/>
      <c r="H587" s="236"/>
      <c r="I587" s="236"/>
      <c r="J587" s="533"/>
      <c r="K587" s="236"/>
      <c r="L587" s="533"/>
      <c r="M587" s="236"/>
      <c r="N587" s="236"/>
      <c r="O587" s="236"/>
      <c r="P587" s="236"/>
      <c r="Q587" s="228"/>
      <c r="R587" s="162"/>
      <c r="S587" s="162"/>
      <c r="T587" s="162"/>
      <c r="U587" s="162"/>
      <c r="V587" s="162"/>
      <c r="W587" s="162"/>
      <c r="X587" s="162"/>
      <c r="Y587" s="162"/>
      <c r="Z587" s="162"/>
      <c r="AA587" s="236"/>
      <c r="AB587" s="236"/>
      <c r="AC587" s="236"/>
      <c r="AD587" s="236"/>
      <c r="AE587" s="236"/>
      <c r="AF587" s="236"/>
      <c r="AG587" s="236"/>
      <c r="AH587" s="236"/>
      <c r="AI587" s="236"/>
      <c r="AJ587" s="236"/>
      <c r="AK587" s="236"/>
      <c r="AL587" s="236"/>
      <c r="AM587" s="236"/>
      <c r="AN587" s="236"/>
      <c r="AO587" s="236"/>
      <c r="AP587" s="236"/>
      <c r="AQ587" s="236"/>
      <c r="AR587" s="236"/>
      <c r="AS587" s="236"/>
      <c r="AT587" s="236"/>
      <c r="AU587" s="236"/>
    </row>
    <row r="588" spans="1:47" ht="15.75" customHeight="1">
      <c r="A588" s="236"/>
      <c r="B588" s="541"/>
      <c r="C588" s="542"/>
      <c r="D588" s="542"/>
      <c r="E588" s="236"/>
      <c r="F588" s="236"/>
      <c r="G588" s="236"/>
      <c r="H588" s="236"/>
      <c r="I588" s="236"/>
      <c r="J588" s="533"/>
      <c r="K588" s="236"/>
      <c r="L588" s="533"/>
      <c r="M588" s="236"/>
      <c r="N588" s="236"/>
      <c r="O588" s="236"/>
      <c r="P588" s="236"/>
      <c r="Q588" s="228"/>
      <c r="R588" s="162"/>
      <c r="S588" s="162"/>
      <c r="T588" s="162"/>
      <c r="U588" s="162"/>
      <c r="V588" s="162"/>
      <c r="W588" s="162"/>
      <c r="X588" s="162"/>
      <c r="Y588" s="162"/>
      <c r="Z588" s="162"/>
      <c r="AA588" s="236"/>
      <c r="AB588" s="236"/>
      <c r="AC588" s="236"/>
      <c r="AD588" s="236"/>
      <c r="AE588" s="236"/>
      <c r="AF588" s="236"/>
      <c r="AG588" s="236"/>
      <c r="AH588" s="236"/>
      <c r="AI588" s="236"/>
      <c r="AJ588" s="236"/>
      <c r="AK588" s="236"/>
      <c r="AL588" s="236"/>
      <c r="AM588" s="236"/>
      <c r="AN588" s="236"/>
      <c r="AO588" s="236"/>
      <c r="AP588" s="236"/>
      <c r="AQ588" s="236"/>
      <c r="AR588" s="236"/>
      <c r="AS588" s="236"/>
      <c r="AT588" s="236"/>
      <c r="AU588" s="236"/>
    </row>
    <row r="589" spans="1:47" ht="15.75" customHeight="1">
      <c r="A589" s="236"/>
      <c r="B589" s="541"/>
      <c r="C589" s="542"/>
      <c r="D589" s="542"/>
      <c r="E589" s="236"/>
      <c r="F589" s="236"/>
      <c r="G589" s="236"/>
      <c r="H589" s="236"/>
      <c r="I589" s="236"/>
      <c r="J589" s="533"/>
      <c r="K589" s="236"/>
      <c r="L589" s="533"/>
      <c r="M589" s="236"/>
      <c r="N589" s="236"/>
      <c r="O589" s="236"/>
      <c r="P589" s="236"/>
      <c r="Q589" s="228"/>
      <c r="R589" s="162"/>
      <c r="S589" s="162"/>
      <c r="T589" s="162"/>
      <c r="U589" s="162"/>
      <c r="V589" s="162"/>
      <c r="W589" s="162"/>
      <c r="X589" s="162"/>
      <c r="Y589" s="162"/>
      <c r="Z589" s="162"/>
      <c r="AA589" s="236"/>
      <c r="AB589" s="236"/>
      <c r="AC589" s="236"/>
      <c r="AD589" s="236"/>
      <c r="AE589" s="236"/>
      <c r="AF589" s="236"/>
      <c r="AG589" s="236"/>
      <c r="AH589" s="236"/>
      <c r="AI589" s="236"/>
      <c r="AJ589" s="236"/>
      <c r="AK589" s="236"/>
      <c r="AL589" s="236"/>
      <c r="AM589" s="236"/>
      <c r="AN589" s="236"/>
      <c r="AO589" s="236"/>
      <c r="AP589" s="236"/>
      <c r="AQ589" s="236"/>
      <c r="AR589" s="236"/>
      <c r="AS589" s="236"/>
      <c r="AT589" s="236"/>
      <c r="AU589" s="236"/>
    </row>
    <row r="590" spans="1:47" ht="15.75" customHeight="1">
      <c r="A590" s="236"/>
      <c r="B590" s="541"/>
      <c r="C590" s="542"/>
      <c r="D590" s="542"/>
      <c r="E590" s="236"/>
      <c r="F590" s="236"/>
      <c r="G590" s="236"/>
      <c r="H590" s="236"/>
      <c r="I590" s="236"/>
      <c r="J590" s="533"/>
      <c r="K590" s="236"/>
      <c r="L590" s="533"/>
      <c r="M590" s="236"/>
      <c r="N590" s="236"/>
      <c r="O590" s="236"/>
      <c r="P590" s="236"/>
      <c r="Q590" s="228"/>
      <c r="R590" s="162"/>
      <c r="S590" s="162"/>
      <c r="T590" s="162"/>
      <c r="U590" s="162"/>
      <c r="V590" s="162"/>
      <c r="W590" s="162"/>
      <c r="X590" s="162"/>
      <c r="Y590" s="162"/>
      <c r="Z590" s="162"/>
      <c r="AA590" s="236"/>
      <c r="AB590" s="236"/>
      <c r="AC590" s="236"/>
      <c r="AD590" s="236"/>
      <c r="AE590" s="236"/>
      <c r="AF590" s="236"/>
      <c r="AG590" s="236"/>
      <c r="AH590" s="236"/>
      <c r="AI590" s="236"/>
      <c r="AJ590" s="236"/>
      <c r="AK590" s="236"/>
      <c r="AL590" s="236"/>
      <c r="AM590" s="236"/>
      <c r="AN590" s="236"/>
      <c r="AO590" s="236"/>
      <c r="AP590" s="236"/>
      <c r="AQ590" s="236"/>
      <c r="AR590" s="236"/>
      <c r="AS590" s="236"/>
      <c r="AT590" s="236"/>
      <c r="AU590" s="236"/>
    </row>
    <row r="591" spans="1:47" ht="15.75" customHeight="1">
      <c r="A591" s="236"/>
      <c r="B591" s="541"/>
      <c r="C591" s="542"/>
      <c r="D591" s="542"/>
      <c r="E591" s="236"/>
      <c r="F591" s="236"/>
      <c r="G591" s="236"/>
      <c r="H591" s="236"/>
      <c r="I591" s="236"/>
      <c r="J591" s="533"/>
      <c r="K591" s="236"/>
      <c r="L591" s="533"/>
      <c r="M591" s="236"/>
      <c r="N591" s="236"/>
      <c r="O591" s="236"/>
      <c r="P591" s="236"/>
      <c r="Q591" s="228"/>
      <c r="R591" s="162"/>
      <c r="S591" s="162"/>
      <c r="T591" s="162"/>
      <c r="U591" s="162"/>
      <c r="V591" s="162"/>
      <c r="W591" s="162"/>
      <c r="X591" s="162"/>
      <c r="Y591" s="162"/>
      <c r="Z591" s="162"/>
      <c r="AA591" s="236"/>
      <c r="AB591" s="236"/>
      <c r="AC591" s="236"/>
      <c r="AD591" s="236"/>
      <c r="AE591" s="236"/>
      <c r="AF591" s="236"/>
      <c r="AG591" s="236"/>
      <c r="AH591" s="236"/>
      <c r="AI591" s="236"/>
      <c r="AJ591" s="236"/>
      <c r="AK591" s="236"/>
      <c r="AL591" s="236"/>
      <c r="AM591" s="236"/>
      <c r="AN591" s="236"/>
      <c r="AO591" s="236"/>
      <c r="AP591" s="236"/>
      <c r="AQ591" s="236"/>
      <c r="AR591" s="236"/>
      <c r="AS591" s="236"/>
      <c r="AT591" s="236"/>
      <c r="AU591" s="236"/>
    </row>
    <row r="592" spans="1:47" ht="15.75" customHeight="1">
      <c r="A592" s="236"/>
      <c r="B592" s="541"/>
      <c r="C592" s="542"/>
      <c r="D592" s="542"/>
      <c r="E592" s="236"/>
      <c r="F592" s="236"/>
      <c r="G592" s="236"/>
      <c r="H592" s="236"/>
      <c r="I592" s="236"/>
      <c r="J592" s="533"/>
      <c r="K592" s="236"/>
      <c r="L592" s="533"/>
      <c r="M592" s="236"/>
      <c r="N592" s="236"/>
      <c r="O592" s="236"/>
      <c r="P592" s="236"/>
      <c r="Q592" s="228"/>
      <c r="R592" s="162"/>
      <c r="S592" s="162"/>
      <c r="T592" s="162"/>
      <c r="U592" s="162"/>
      <c r="V592" s="162"/>
      <c r="W592" s="162"/>
      <c r="X592" s="162"/>
      <c r="Y592" s="162"/>
      <c r="Z592" s="162"/>
      <c r="AA592" s="236"/>
      <c r="AB592" s="236"/>
      <c r="AC592" s="236"/>
      <c r="AD592" s="236"/>
      <c r="AE592" s="236"/>
      <c r="AF592" s="236"/>
      <c r="AG592" s="236"/>
      <c r="AH592" s="236"/>
      <c r="AI592" s="236"/>
      <c r="AJ592" s="236"/>
      <c r="AK592" s="236"/>
      <c r="AL592" s="236"/>
      <c r="AM592" s="236"/>
      <c r="AN592" s="236"/>
      <c r="AO592" s="236"/>
      <c r="AP592" s="236"/>
      <c r="AQ592" s="236"/>
      <c r="AR592" s="236"/>
      <c r="AS592" s="236"/>
      <c r="AT592" s="236"/>
      <c r="AU592" s="236"/>
    </row>
    <row r="593" spans="1:47" ht="15.75" customHeight="1">
      <c r="A593" s="236"/>
      <c r="B593" s="541"/>
      <c r="C593" s="542"/>
      <c r="D593" s="542"/>
      <c r="E593" s="236"/>
      <c r="F593" s="236"/>
      <c r="G593" s="236"/>
      <c r="H593" s="236"/>
      <c r="I593" s="236"/>
      <c r="J593" s="533"/>
      <c r="K593" s="236"/>
      <c r="L593" s="533"/>
      <c r="M593" s="236"/>
      <c r="N593" s="236"/>
      <c r="O593" s="236"/>
      <c r="P593" s="236"/>
      <c r="Q593" s="228"/>
      <c r="R593" s="162"/>
      <c r="S593" s="162"/>
      <c r="T593" s="162"/>
      <c r="U593" s="162"/>
      <c r="V593" s="162"/>
      <c r="W593" s="162"/>
      <c r="X593" s="162"/>
      <c r="Y593" s="162"/>
      <c r="Z593" s="162"/>
      <c r="AA593" s="236"/>
      <c r="AB593" s="236"/>
      <c r="AC593" s="236"/>
      <c r="AD593" s="236"/>
      <c r="AE593" s="236"/>
      <c r="AF593" s="236"/>
      <c r="AG593" s="236"/>
      <c r="AH593" s="236"/>
      <c r="AI593" s="236"/>
      <c r="AJ593" s="236"/>
      <c r="AK593" s="236"/>
      <c r="AL593" s="236"/>
      <c r="AM593" s="236"/>
      <c r="AN593" s="236"/>
      <c r="AO593" s="236"/>
      <c r="AP593" s="236"/>
      <c r="AQ593" s="236"/>
      <c r="AR593" s="236"/>
      <c r="AS593" s="236"/>
      <c r="AT593" s="236"/>
      <c r="AU593" s="236"/>
    </row>
    <row r="594" spans="1:47" ht="15.75" customHeight="1">
      <c r="A594" s="236"/>
      <c r="B594" s="541"/>
      <c r="C594" s="542"/>
      <c r="D594" s="542"/>
      <c r="E594" s="236"/>
      <c r="F594" s="236"/>
      <c r="G594" s="236"/>
      <c r="H594" s="236"/>
      <c r="I594" s="236"/>
      <c r="J594" s="533"/>
      <c r="K594" s="236"/>
      <c r="L594" s="533"/>
      <c r="M594" s="236"/>
      <c r="N594" s="236"/>
      <c r="O594" s="236"/>
      <c r="P594" s="236"/>
      <c r="Q594" s="228"/>
      <c r="R594" s="162"/>
      <c r="S594" s="162"/>
      <c r="T594" s="162"/>
      <c r="U594" s="162"/>
      <c r="V594" s="162"/>
      <c r="W594" s="162"/>
      <c r="X594" s="162"/>
      <c r="Y594" s="162"/>
      <c r="Z594" s="162"/>
      <c r="AA594" s="236"/>
      <c r="AB594" s="236"/>
      <c r="AC594" s="236"/>
      <c r="AD594" s="236"/>
      <c r="AE594" s="236"/>
      <c r="AF594" s="236"/>
      <c r="AG594" s="236"/>
      <c r="AH594" s="236"/>
      <c r="AI594" s="236"/>
      <c r="AJ594" s="236"/>
      <c r="AK594" s="236"/>
      <c r="AL594" s="236"/>
      <c r="AM594" s="236"/>
      <c r="AN594" s="236"/>
      <c r="AO594" s="236"/>
      <c r="AP594" s="236"/>
      <c r="AQ594" s="236"/>
      <c r="AR594" s="236"/>
      <c r="AS594" s="236"/>
      <c r="AT594" s="236"/>
      <c r="AU594" s="236"/>
    </row>
    <row r="595" spans="1:47" ht="15.75" customHeight="1">
      <c r="A595" s="236"/>
      <c r="B595" s="541"/>
      <c r="C595" s="542"/>
      <c r="D595" s="542"/>
      <c r="E595" s="236"/>
      <c r="F595" s="236"/>
      <c r="G595" s="236"/>
      <c r="H595" s="236"/>
      <c r="I595" s="236"/>
      <c r="J595" s="533"/>
      <c r="K595" s="236"/>
      <c r="L595" s="533"/>
      <c r="M595" s="236"/>
      <c r="N595" s="236"/>
      <c r="O595" s="236"/>
      <c r="P595" s="236"/>
      <c r="Q595" s="228"/>
      <c r="R595" s="162"/>
      <c r="S595" s="162"/>
      <c r="T595" s="162"/>
      <c r="U595" s="162"/>
      <c r="V595" s="162"/>
      <c r="W595" s="162"/>
      <c r="X595" s="162"/>
      <c r="Y595" s="162"/>
      <c r="Z595" s="162"/>
      <c r="AA595" s="236"/>
      <c r="AB595" s="236"/>
      <c r="AC595" s="236"/>
      <c r="AD595" s="236"/>
      <c r="AE595" s="236"/>
      <c r="AF595" s="236"/>
      <c r="AG595" s="236"/>
      <c r="AH595" s="236"/>
      <c r="AI595" s="236"/>
      <c r="AJ595" s="236"/>
      <c r="AK595" s="236"/>
      <c r="AL595" s="236"/>
      <c r="AM595" s="236"/>
      <c r="AN595" s="236"/>
      <c r="AO595" s="236"/>
      <c r="AP595" s="236"/>
      <c r="AQ595" s="236"/>
      <c r="AR595" s="236"/>
      <c r="AS595" s="236"/>
      <c r="AT595" s="236"/>
      <c r="AU595" s="236"/>
    </row>
    <row r="596" spans="1:47" ht="15.75" customHeight="1">
      <c r="A596" s="236"/>
      <c r="B596" s="541"/>
      <c r="C596" s="542"/>
      <c r="D596" s="542"/>
      <c r="E596" s="236"/>
      <c r="F596" s="236"/>
      <c r="G596" s="236"/>
      <c r="H596" s="236"/>
      <c r="I596" s="236"/>
      <c r="J596" s="533"/>
      <c r="K596" s="236"/>
      <c r="L596" s="533"/>
      <c r="M596" s="236"/>
      <c r="N596" s="236"/>
      <c r="O596" s="236"/>
      <c r="P596" s="236"/>
      <c r="Q596" s="228"/>
      <c r="R596" s="162"/>
      <c r="S596" s="162"/>
      <c r="T596" s="162"/>
      <c r="U596" s="162"/>
      <c r="V596" s="162"/>
      <c r="W596" s="162"/>
      <c r="X596" s="162"/>
      <c r="Y596" s="162"/>
      <c r="Z596" s="162"/>
      <c r="AA596" s="236"/>
      <c r="AB596" s="236"/>
      <c r="AC596" s="236"/>
      <c r="AD596" s="236"/>
      <c r="AE596" s="236"/>
      <c r="AF596" s="236"/>
      <c r="AG596" s="236"/>
      <c r="AH596" s="236"/>
      <c r="AI596" s="236"/>
      <c r="AJ596" s="236"/>
      <c r="AK596" s="236"/>
      <c r="AL596" s="236"/>
      <c r="AM596" s="236"/>
      <c r="AN596" s="236"/>
      <c r="AO596" s="236"/>
      <c r="AP596" s="236"/>
      <c r="AQ596" s="236"/>
      <c r="AR596" s="236"/>
      <c r="AS596" s="236"/>
      <c r="AT596" s="236"/>
      <c r="AU596" s="236"/>
    </row>
    <row r="597" spans="1:47" ht="15.75" customHeight="1">
      <c r="A597" s="236"/>
      <c r="B597" s="541"/>
      <c r="C597" s="542"/>
      <c r="D597" s="542"/>
      <c r="E597" s="236"/>
      <c r="F597" s="236"/>
      <c r="G597" s="236"/>
      <c r="H597" s="236"/>
      <c r="I597" s="236"/>
      <c r="J597" s="533"/>
      <c r="K597" s="236"/>
      <c r="L597" s="533"/>
      <c r="M597" s="236"/>
      <c r="N597" s="236"/>
      <c r="O597" s="236"/>
      <c r="P597" s="236"/>
      <c r="Q597" s="228"/>
      <c r="R597" s="162"/>
      <c r="S597" s="162"/>
      <c r="T597" s="162"/>
      <c r="U597" s="162"/>
      <c r="V597" s="162"/>
      <c r="W597" s="162"/>
      <c r="X597" s="162"/>
      <c r="Y597" s="162"/>
      <c r="Z597" s="162"/>
      <c r="AA597" s="236"/>
      <c r="AB597" s="236"/>
      <c r="AC597" s="236"/>
      <c r="AD597" s="236"/>
      <c r="AE597" s="236"/>
      <c r="AF597" s="236"/>
      <c r="AG597" s="236"/>
      <c r="AH597" s="236"/>
      <c r="AI597" s="236"/>
      <c r="AJ597" s="236"/>
      <c r="AK597" s="236"/>
      <c r="AL597" s="236"/>
      <c r="AM597" s="236"/>
      <c r="AN597" s="236"/>
      <c r="AO597" s="236"/>
      <c r="AP597" s="236"/>
      <c r="AQ597" s="236"/>
      <c r="AR597" s="236"/>
      <c r="AS597" s="236"/>
      <c r="AT597" s="236"/>
      <c r="AU597" s="236"/>
    </row>
  </sheetData>
  <autoFilter ref="A1:O432" xr:uid="{00000000-0009-0000-0000-000002000000}">
    <filterColumn colId="6">
      <filters>
        <filter val="CPs"/>
        <filter val="CPs / Stakeholders"/>
        <filter val="CPs/Stakeholders"/>
      </filters>
    </filterColumn>
  </autoFilter>
  <dataValidations count="1">
    <dataValidation type="custom" allowBlank="1" showErrorMessage="1" sqref="P1:P5 AA1:AA432 P7:P9 P11 N12 P13:P20 P22:P23 P25:P32 P34:P46 P48:P50 P52:P53 N54:N55 P56:P82 N84 P85:P90 P93:P102 P104:P158 P160:P165 P167:P193 P199:P220 P222:P225 P227:P228 P231:P241 P247:P248 P250:P251 P254:P285 P287:P290 P292:P304 P306:P321 P323:P333 P335:P343 P345:P377 P379:P382 P384:P391 P393:P432" xr:uid="{32526751-023E-464B-A6B9-C2DB87CB4348}">
      <formula1>lt(LEN(#REF!),(256))</formula1>
      <formula2>0</formula2>
    </dataValidation>
  </dataValidations>
  <hyperlinks>
    <hyperlink ref="P267" r:id="rId1" location="/" xr:uid="{4C9596B7-7EBC-4299-B00B-B47143A31A42}"/>
    <hyperlink ref="P377" r:id="rId2" location="/standard" xr:uid="{7D14A528-9C6C-4BF4-8A7B-E010362D5CD4}"/>
  </hyperlinks>
  <pageMargins left="0.7" right="0.7" top="0.75" bottom="0.75" header="0.51180555555555496" footer="0.51180555555555496"/>
  <pageSetup paperSize="9" orientation="portrait" horizontalDpi="300" verticalDpi="300"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93F9E-7451-4585-9A97-9B65FB7DA8A2}">
  <sheetPr filterMode="1"/>
  <dimension ref="A1:AY597"/>
  <sheetViews>
    <sheetView workbookViewId="0"/>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0" style="46" hidden="1" customWidth="1"/>
    <col min="18" max="26" width="14.140625" style="26" hidden="1" customWidth="1"/>
    <col min="27" max="27" width="20.85546875" style="1" hidden="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277"/>
      <c r="R1" s="36" t="s">
        <v>44</v>
      </c>
      <c r="S1" s="7" t="s">
        <v>45</v>
      </c>
      <c r="T1" s="7" t="s">
        <v>46</v>
      </c>
      <c r="U1" s="7" t="s">
        <v>47</v>
      </c>
      <c r="V1" s="7" t="s">
        <v>48</v>
      </c>
      <c r="W1" s="7" t="s">
        <v>39</v>
      </c>
      <c r="X1" s="7" t="s">
        <v>49</v>
      </c>
      <c r="Y1" s="7" t="s">
        <v>50</v>
      </c>
      <c r="Z1" s="7" t="s">
        <v>51</v>
      </c>
      <c r="AA1" s="7" t="s">
        <v>43</v>
      </c>
    </row>
    <row r="2" spans="1:27">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220.5">
      <c r="A3" s="8" t="s">
        <v>53</v>
      </c>
      <c r="B3" s="29" t="s">
        <v>54</v>
      </c>
      <c r="C3" s="8" t="s">
        <v>55</v>
      </c>
      <c r="D3" s="8" t="s">
        <v>56</v>
      </c>
      <c r="E3" s="8" t="s">
        <v>57</v>
      </c>
      <c r="F3" s="20" t="s">
        <v>2251</v>
      </c>
      <c r="G3" s="20" t="s">
        <v>58</v>
      </c>
      <c r="H3" s="20" t="s">
        <v>59</v>
      </c>
      <c r="I3" s="22">
        <v>1</v>
      </c>
      <c r="J3" s="20"/>
      <c r="K3" s="20"/>
      <c r="L3" s="278"/>
      <c r="M3" s="20"/>
      <c r="N3" s="20"/>
      <c r="O3" s="279"/>
      <c r="P3" s="20" t="s">
        <v>2252</v>
      </c>
      <c r="Q3" s="132"/>
      <c r="R3" s="39"/>
      <c r="S3" s="20"/>
      <c r="T3" s="20"/>
      <c r="U3" s="20"/>
      <c r="V3" s="20"/>
      <c r="W3" s="20"/>
      <c r="X3" s="20"/>
      <c r="Y3" s="20"/>
      <c r="Z3" s="20"/>
      <c r="AA3" s="20"/>
    </row>
    <row r="4" spans="1:27" ht="204.75">
      <c r="A4" s="8" t="s">
        <v>53</v>
      </c>
      <c r="B4" s="29" t="s">
        <v>54</v>
      </c>
      <c r="C4" s="8" t="s">
        <v>55</v>
      </c>
      <c r="D4" s="8" t="s">
        <v>60</v>
      </c>
      <c r="E4" s="69" t="s">
        <v>61</v>
      </c>
      <c r="F4" s="8" t="s">
        <v>2253</v>
      </c>
      <c r="G4" s="8" t="s">
        <v>62</v>
      </c>
      <c r="H4" s="8" t="s">
        <v>59</v>
      </c>
      <c r="I4" s="9">
        <v>1</v>
      </c>
      <c r="J4" s="9" t="s">
        <v>1191</v>
      </c>
      <c r="K4" s="9" t="s">
        <v>2254</v>
      </c>
      <c r="L4" s="280" t="s">
        <v>1380</v>
      </c>
      <c r="M4" s="9" t="s">
        <v>10</v>
      </c>
      <c r="N4" s="9" t="s">
        <v>2255</v>
      </c>
      <c r="O4" s="281">
        <v>10000</v>
      </c>
      <c r="P4" s="8" t="s">
        <v>2256</v>
      </c>
      <c r="Q4" s="282"/>
      <c r="R4" s="37"/>
      <c r="S4" s="9"/>
      <c r="T4" s="9"/>
      <c r="U4" s="9"/>
      <c r="V4" s="9"/>
      <c r="W4" s="9"/>
      <c r="X4" s="9"/>
      <c r="Y4" s="9"/>
      <c r="Z4" s="9"/>
      <c r="AA4" s="8"/>
    </row>
    <row r="5" spans="1:27" ht="126">
      <c r="A5" s="8" t="s">
        <v>53</v>
      </c>
      <c r="B5" s="29" t="s">
        <v>54</v>
      </c>
      <c r="C5" s="8" t="s">
        <v>55</v>
      </c>
      <c r="D5" s="8" t="s">
        <v>63</v>
      </c>
      <c r="E5" s="69" t="s">
        <v>64</v>
      </c>
      <c r="F5" s="8" t="s">
        <v>2253</v>
      </c>
      <c r="G5" s="8" t="s">
        <v>62</v>
      </c>
      <c r="H5" s="8" t="s">
        <v>59</v>
      </c>
      <c r="I5" s="9">
        <v>1</v>
      </c>
      <c r="J5" s="9" t="s">
        <v>1191</v>
      </c>
      <c r="K5" s="9" t="s">
        <v>2254</v>
      </c>
      <c r="L5" s="283" t="s">
        <v>1380</v>
      </c>
      <c r="M5" s="9" t="s">
        <v>10</v>
      </c>
      <c r="N5" s="9" t="s">
        <v>2257</v>
      </c>
      <c r="O5" s="281"/>
      <c r="P5" s="8" t="s">
        <v>2258</v>
      </c>
      <c r="Q5" s="282"/>
      <c r="R5" s="37"/>
      <c r="S5" s="9"/>
      <c r="T5" s="9"/>
      <c r="U5" s="9"/>
      <c r="V5" s="9"/>
      <c r="W5" s="9"/>
      <c r="X5" s="9"/>
      <c r="Y5" s="9"/>
      <c r="Z5" s="9"/>
      <c r="AA5" s="8"/>
    </row>
    <row r="6" spans="1:27" ht="126">
      <c r="A6" s="8" t="s">
        <v>53</v>
      </c>
      <c r="B6" s="29" t="s">
        <v>54</v>
      </c>
      <c r="C6" s="8" t="s">
        <v>55</v>
      </c>
      <c r="D6" s="8" t="s">
        <v>65</v>
      </c>
      <c r="E6" s="69" t="s">
        <v>66</v>
      </c>
      <c r="F6" s="8" t="s">
        <v>2259</v>
      </c>
      <c r="G6" s="8" t="s">
        <v>62</v>
      </c>
      <c r="H6" s="8" t="s">
        <v>59</v>
      </c>
      <c r="I6" s="9">
        <v>1</v>
      </c>
      <c r="J6" s="9" t="s">
        <v>8</v>
      </c>
      <c r="K6" s="9" t="s">
        <v>2260</v>
      </c>
      <c r="L6" s="283" t="s">
        <v>1380</v>
      </c>
      <c r="M6" s="9" t="s">
        <v>10</v>
      </c>
      <c r="N6" s="9" t="s">
        <v>2261</v>
      </c>
      <c r="O6" s="281">
        <v>10000</v>
      </c>
      <c r="P6" s="8" t="s">
        <v>2262</v>
      </c>
      <c r="Q6" s="282"/>
      <c r="R6" s="37"/>
      <c r="S6" s="9"/>
      <c r="T6" s="9"/>
      <c r="U6" s="9"/>
      <c r="V6" s="9"/>
      <c r="W6" s="9"/>
      <c r="X6" s="9"/>
      <c r="Y6" s="9"/>
      <c r="Z6" s="9"/>
      <c r="AA6" s="8"/>
    </row>
    <row r="7" spans="1:27" ht="110.25">
      <c r="A7" s="8" t="s">
        <v>53</v>
      </c>
      <c r="B7" s="29" t="s">
        <v>54</v>
      </c>
      <c r="C7" s="8" t="s">
        <v>55</v>
      </c>
      <c r="D7" s="8" t="s">
        <v>67</v>
      </c>
      <c r="E7" s="69" t="s">
        <v>68</v>
      </c>
      <c r="F7" s="8" t="s">
        <v>2259</v>
      </c>
      <c r="G7" s="8" t="s">
        <v>62</v>
      </c>
      <c r="H7" s="8" t="s">
        <v>59</v>
      </c>
      <c r="I7" s="9">
        <v>1</v>
      </c>
      <c r="J7" s="9" t="s">
        <v>8</v>
      </c>
      <c r="K7" s="9" t="s">
        <v>2260</v>
      </c>
      <c r="L7" s="283" t="s">
        <v>1380</v>
      </c>
      <c r="M7" s="9" t="s">
        <v>10</v>
      </c>
      <c r="N7" s="9" t="s">
        <v>2263</v>
      </c>
      <c r="O7" s="281"/>
      <c r="P7" s="8" t="s">
        <v>2258</v>
      </c>
      <c r="Q7" s="282"/>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283"/>
      <c r="M8" s="8"/>
      <c r="N8" s="8"/>
      <c r="O8" s="281"/>
      <c r="P8" s="8"/>
      <c r="Q8" s="132"/>
      <c r="R8" s="38"/>
      <c r="S8" s="8"/>
      <c r="T8" s="8"/>
      <c r="U8" s="8"/>
      <c r="V8" s="8"/>
      <c r="W8" s="8"/>
      <c r="X8" s="8"/>
      <c r="Y8" s="8"/>
      <c r="Z8" s="8"/>
      <c r="AA8" s="8"/>
    </row>
    <row r="9" spans="1:27" ht="299.25" hidden="1">
      <c r="A9" s="8" t="s">
        <v>53</v>
      </c>
      <c r="B9" s="29" t="s">
        <v>54</v>
      </c>
      <c r="C9" s="8" t="s">
        <v>55</v>
      </c>
      <c r="D9" s="8" t="s">
        <v>74</v>
      </c>
      <c r="E9" s="8" t="s">
        <v>75</v>
      </c>
      <c r="F9" s="8"/>
      <c r="G9" s="8" t="s">
        <v>71</v>
      </c>
      <c r="H9" s="8" t="s">
        <v>76</v>
      </c>
      <c r="I9" s="8" t="s">
        <v>77</v>
      </c>
      <c r="J9" s="8"/>
      <c r="K9" s="10"/>
      <c r="L9" s="283"/>
      <c r="M9" s="8"/>
      <c r="N9" s="8"/>
      <c r="O9" s="281"/>
      <c r="P9" s="8"/>
      <c r="Q9" s="132"/>
      <c r="R9" s="38"/>
      <c r="S9" s="8"/>
      <c r="T9" s="8"/>
      <c r="U9" s="8"/>
      <c r="V9" s="8"/>
      <c r="W9" s="8"/>
      <c r="X9" s="8"/>
      <c r="Y9" s="8"/>
      <c r="Z9" s="8"/>
      <c r="AA9" s="8"/>
    </row>
    <row r="10" spans="1:27" ht="173.25">
      <c r="A10" s="8" t="s">
        <v>53</v>
      </c>
      <c r="B10" s="29" t="s">
        <v>54</v>
      </c>
      <c r="C10" s="8" t="s">
        <v>55</v>
      </c>
      <c r="D10" s="8" t="s">
        <v>78</v>
      </c>
      <c r="E10" s="8" t="s">
        <v>79</v>
      </c>
      <c r="F10" s="8" t="s">
        <v>2253</v>
      </c>
      <c r="G10" s="8" t="s">
        <v>62</v>
      </c>
      <c r="H10" s="8" t="s">
        <v>80</v>
      </c>
      <c r="I10" s="8">
        <v>5</v>
      </c>
      <c r="J10" s="8" t="s">
        <v>8</v>
      </c>
      <c r="K10" s="8" t="s">
        <v>2264</v>
      </c>
      <c r="L10" s="283" t="s">
        <v>2265</v>
      </c>
      <c r="M10" s="8" t="s">
        <v>9</v>
      </c>
      <c r="N10" s="8" t="s">
        <v>2266</v>
      </c>
      <c r="O10" s="281"/>
      <c r="P10" s="8" t="s">
        <v>2267</v>
      </c>
      <c r="Q10" s="132"/>
      <c r="R10" s="38"/>
      <c r="S10" s="8"/>
      <c r="T10" s="8"/>
      <c r="U10" s="8"/>
      <c r="V10" s="8"/>
      <c r="W10" s="8"/>
      <c r="X10" s="8"/>
      <c r="Y10" s="8"/>
      <c r="Z10" s="8"/>
      <c r="AA10" s="8"/>
    </row>
    <row r="11" spans="1:27" ht="157.5">
      <c r="A11" s="8" t="s">
        <v>53</v>
      </c>
      <c r="B11" s="29" t="s">
        <v>54</v>
      </c>
      <c r="C11" s="8" t="s">
        <v>81</v>
      </c>
      <c r="D11" s="8" t="s">
        <v>82</v>
      </c>
      <c r="E11" s="8" t="s">
        <v>83</v>
      </c>
      <c r="F11" s="20"/>
      <c r="G11" s="20" t="s">
        <v>62</v>
      </c>
      <c r="H11" s="20" t="s">
        <v>84</v>
      </c>
      <c r="I11" s="20" t="s">
        <v>85</v>
      </c>
      <c r="J11" s="20"/>
      <c r="K11" s="20"/>
      <c r="L11" s="278"/>
      <c r="M11" s="20"/>
      <c r="N11" s="20"/>
      <c r="O11" s="279"/>
      <c r="P11" s="20" t="s">
        <v>2268</v>
      </c>
      <c r="Q11" s="132"/>
      <c r="R11" s="39"/>
      <c r="S11" s="20"/>
      <c r="T11" s="20"/>
      <c r="U11" s="20"/>
      <c r="V11" s="20"/>
      <c r="W11" s="20"/>
      <c r="X11" s="20"/>
      <c r="Y11" s="20"/>
      <c r="Z11" s="20"/>
      <c r="AA11" s="20"/>
    </row>
    <row r="12" spans="1:27" ht="94.5">
      <c r="A12" s="8" t="s">
        <v>53</v>
      </c>
      <c r="B12" s="29" t="s">
        <v>54</v>
      </c>
      <c r="C12" s="8" t="s">
        <v>81</v>
      </c>
      <c r="D12" s="8" t="s">
        <v>86</v>
      </c>
      <c r="E12" s="69" t="s">
        <v>87</v>
      </c>
      <c r="F12" s="8" t="s">
        <v>2251</v>
      </c>
      <c r="G12" s="8" t="s">
        <v>62</v>
      </c>
      <c r="H12" s="8" t="s">
        <v>84</v>
      </c>
      <c r="I12" s="8" t="s">
        <v>85</v>
      </c>
      <c r="J12" s="8" t="s">
        <v>8</v>
      </c>
      <c r="K12" s="8" t="s">
        <v>2269</v>
      </c>
      <c r="L12" s="283" t="s">
        <v>2270</v>
      </c>
      <c r="M12" s="8" t="s">
        <v>10</v>
      </c>
      <c r="N12" s="8" t="s">
        <v>2271</v>
      </c>
      <c r="O12" s="281"/>
      <c r="P12" s="8" t="s">
        <v>2272</v>
      </c>
      <c r="Q12" s="132"/>
      <c r="R12" s="38"/>
      <c r="S12" s="8"/>
      <c r="T12" s="8"/>
      <c r="U12" s="8"/>
      <c r="V12" s="8"/>
      <c r="W12" s="8"/>
      <c r="X12" s="8"/>
      <c r="Y12" s="8"/>
      <c r="Z12" s="8"/>
      <c r="AA12" s="8"/>
    </row>
    <row r="13" spans="1:27" ht="141.75">
      <c r="A13" s="8" t="s">
        <v>53</v>
      </c>
      <c r="B13" s="29" t="s">
        <v>54</v>
      </c>
      <c r="C13" s="8" t="s">
        <v>81</v>
      </c>
      <c r="D13" s="8" t="s">
        <v>88</v>
      </c>
      <c r="E13" s="69" t="s">
        <v>89</v>
      </c>
      <c r="F13" s="8" t="s">
        <v>2251</v>
      </c>
      <c r="G13" s="8" t="s">
        <v>62</v>
      </c>
      <c r="H13" s="8" t="s">
        <v>84</v>
      </c>
      <c r="I13" s="8" t="s">
        <v>85</v>
      </c>
      <c r="J13" s="8" t="s">
        <v>8</v>
      </c>
      <c r="K13" s="8"/>
      <c r="L13" s="283" t="s">
        <v>2273</v>
      </c>
      <c r="M13" s="8" t="s">
        <v>10</v>
      </c>
      <c r="N13" s="8" t="s">
        <v>2274</v>
      </c>
      <c r="O13" s="281"/>
      <c r="P13" s="8" t="s">
        <v>2275</v>
      </c>
      <c r="Q13" s="132"/>
      <c r="R13" s="38"/>
      <c r="S13" s="8"/>
      <c r="T13" s="8"/>
      <c r="U13" s="8"/>
      <c r="V13" s="8"/>
      <c r="W13" s="8"/>
      <c r="X13" s="8"/>
      <c r="Y13" s="8"/>
      <c r="Z13" s="8"/>
      <c r="AA13" s="8"/>
    </row>
    <row r="14" spans="1:27" ht="94.5">
      <c r="A14" s="8" t="s">
        <v>53</v>
      </c>
      <c r="B14" s="29" t="s">
        <v>54</v>
      </c>
      <c r="C14" s="8" t="s">
        <v>81</v>
      </c>
      <c r="D14" s="8" t="s">
        <v>90</v>
      </c>
      <c r="E14" s="69" t="s">
        <v>91</v>
      </c>
      <c r="F14" s="8" t="s">
        <v>2251</v>
      </c>
      <c r="G14" s="8" t="s">
        <v>62</v>
      </c>
      <c r="H14" s="8" t="s">
        <v>84</v>
      </c>
      <c r="I14" s="8" t="s">
        <v>85</v>
      </c>
      <c r="J14" s="8" t="s">
        <v>8</v>
      </c>
      <c r="K14" s="8" t="s">
        <v>2276</v>
      </c>
      <c r="L14" s="283" t="s">
        <v>2270</v>
      </c>
      <c r="M14" s="8" t="s">
        <v>10</v>
      </c>
      <c r="N14" s="8" t="s">
        <v>2258</v>
      </c>
      <c r="O14" s="281"/>
      <c r="P14" s="8" t="s">
        <v>2272</v>
      </c>
      <c r="Q14" s="132"/>
      <c r="R14" s="38"/>
      <c r="S14" s="8"/>
      <c r="T14" s="8"/>
      <c r="U14" s="8"/>
      <c r="V14" s="8"/>
      <c r="W14" s="8"/>
      <c r="X14" s="8"/>
      <c r="Y14" s="8"/>
      <c r="Z14" s="8"/>
      <c r="AA14" s="8"/>
    </row>
    <row r="15" spans="1:27" ht="94.5">
      <c r="A15" s="8" t="s">
        <v>53</v>
      </c>
      <c r="B15" s="29" t="s">
        <v>54</v>
      </c>
      <c r="C15" s="8" t="s">
        <v>81</v>
      </c>
      <c r="D15" s="8" t="s">
        <v>92</v>
      </c>
      <c r="E15" s="69" t="s">
        <v>93</v>
      </c>
      <c r="F15" s="8" t="s">
        <v>2251</v>
      </c>
      <c r="G15" s="8" t="s">
        <v>62</v>
      </c>
      <c r="H15" s="8" t="s">
        <v>84</v>
      </c>
      <c r="I15" s="8" t="s">
        <v>85</v>
      </c>
      <c r="J15" s="8" t="s">
        <v>8</v>
      </c>
      <c r="K15" s="8"/>
      <c r="L15" s="283" t="s">
        <v>2270</v>
      </c>
      <c r="M15" s="8" t="s">
        <v>10</v>
      </c>
      <c r="N15" s="8" t="s">
        <v>2274</v>
      </c>
      <c r="O15" s="281"/>
      <c r="P15" s="8" t="s">
        <v>2277</v>
      </c>
      <c r="Q15" s="132"/>
      <c r="R15" s="38"/>
      <c r="S15" s="8"/>
      <c r="T15" s="8"/>
      <c r="U15" s="8"/>
      <c r="V15" s="8"/>
      <c r="W15" s="8"/>
      <c r="X15" s="8"/>
      <c r="Y15" s="8"/>
      <c r="Z15" s="8"/>
      <c r="AA15" s="8"/>
    </row>
    <row r="16" spans="1:27" ht="157.5">
      <c r="A16" s="8" t="s">
        <v>53</v>
      </c>
      <c r="B16" s="29" t="s">
        <v>54</v>
      </c>
      <c r="C16" s="8" t="s">
        <v>81</v>
      </c>
      <c r="D16" s="8" t="s">
        <v>94</v>
      </c>
      <c r="E16" s="69" t="s">
        <v>95</v>
      </c>
      <c r="F16" s="8" t="s">
        <v>2259</v>
      </c>
      <c r="G16" s="8" t="s">
        <v>62</v>
      </c>
      <c r="H16" s="8" t="s">
        <v>84</v>
      </c>
      <c r="I16" s="8" t="s">
        <v>85</v>
      </c>
      <c r="J16" s="8" t="s">
        <v>8</v>
      </c>
      <c r="K16" s="8" t="s">
        <v>2278</v>
      </c>
      <c r="L16" s="283" t="s">
        <v>2279</v>
      </c>
      <c r="M16" s="8" t="s">
        <v>10</v>
      </c>
      <c r="N16" s="8" t="s">
        <v>2280</v>
      </c>
      <c r="O16" s="281"/>
      <c r="P16" s="8" t="s">
        <v>2281</v>
      </c>
      <c r="Q16" s="132"/>
      <c r="R16" s="38"/>
      <c r="S16" s="8"/>
      <c r="T16" s="8"/>
      <c r="U16" s="8"/>
      <c r="V16" s="8"/>
      <c r="W16" s="8"/>
      <c r="X16" s="8"/>
      <c r="Y16" s="8"/>
      <c r="Z16" s="8"/>
      <c r="AA16" s="8"/>
    </row>
    <row r="17" spans="1:27" ht="110.25">
      <c r="A17" s="8" t="s">
        <v>53</v>
      </c>
      <c r="B17" s="29" t="s">
        <v>54</v>
      </c>
      <c r="C17" s="8" t="s">
        <v>81</v>
      </c>
      <c r="D17" s="8" t="s">
        <v>96</v>
      </c>
      <c r="E17" s="69" t="s">
        <v>97</v>
      </c>
      <c r="F17" s="8" t="s">
        <v>2259</v>
      </c>
      <c r="G17" s="8" t="s">
        <v>62</v>
      </c>
      <c r="H17" s="8" t="s">
        <v>84</v>
      </c>
      <c r="I17" s="8" t="s">
        <v>85</v>
      </c>
      <c r="J17" s="8" t="s">
        <v>8</v>
      </c>
      <c r="K17" s="8" t="s">
        <v>2282</v>
      </c>
      <c r="L17" s="283" t="s">
        <v>2279</v>
      </c>
      <c r="M17" s="8" t="s">
        <v>10</v>
      </c>
      <c r="N17" s="8"/>
      <c r="O17" s="281">
        <v>9600</v>
      </c>
      <c r="P17" s="8" t="s">
        <v>2283</v>
      </c>
      <c r="Q17" s="132"/>
      <c r="R17" s="38"/>
      <c r="S17" s="8"/>
      <c r="T17" s="8"/>
      <c r="U17" s="8"/>
      <c r="V17" s="8"/>
      <c r="W17" s="8"/>
      <c r="X17" s="8"/>
      <c r="Y17" s="8"/>
      <c r="Z17" s="8"/>
      <c r="AA17" s="8"/>
    </row>
    <row r="18" spans="1:27" ht="204.75">
      <c r="A18" s="8" t="s">
        <v>53</v>
      </c>
      <c r="B18" s="29" t="s">
        <v>54</v>
      </c>
      <c r="C18" s="8" t="s">
        <v>81</v>
      </c>
      <c r="D18" s="8" t="s">
        <v>98</v>
      </c>
      <c r="E18" s="69" t="s">
        <v>99</v>
      </c>
      <c r="F18" s="8" t="s">
        <v>2259</v>
      </c>
      <c r="G18" s="8" t="s">
        <v>62</v>
      </c>
      <c r="H18" s="8" t="s">
        <v>84</v>
      </c>
      <c r="I18" s="8" t="s">
        <v>85</v>
      </c>
      <c r="J18" s="8" t="s">
        <v>8</v>
      </c>
      <c r="K18" s="8" t="s">
        <v>2284</v>
      </c>
      <c r="L18" s="283" t="s">
        <v>2273</v>
      </c>
      <c r="M18" s="8" t="s">
        <v>10</v>
      </c>
      <c r="N18" s="8" t="s">
        <v>2285</v>
      </c>
      <c r="O18" s="281">
        <v>9600</v>
      </c>
      <c r="P18" s="8" t="s">
        <v>2286</v>
      </c>
      <c r="Q18" s="132"/>
      <c r="R18" s="38"/>
      <c r="S18" s="8"/>
      <c r="T18" s="8"/>
      <c r="U18" s="8"/>
      <c r="V18" s="8"/>
      <c r="W18" s="8"/>
      <c r="X18" s="8"/>
      <c r="Y18" s="8"/>
      <c r="Z18" s="8"/>
      <c r="AA18" s="8"/>
    </row>
    <row r="19" spans="1:27" ht="110.25">
      <c r="A19" s="8" t="s">
        <v>53</v>
      </c>
      <c r="B19" s="29" t="s">
        <v>54</v>
      </c>
      <c r="C19" s="8" t="s">
        <v>81</v>
      </c>
      <c r="D19" s="8" t="s">
        <v>100</v>
      </c>
      <c r="E19" s="69" t="s">
        <v>101</v>
      </c>
      <c r="F19" s="8" t="s">
        <v>2259</v>
      </c>
      <c r="G19" s="8" t="s">
        <v>62</v>
      </c>
      <c r="H19" s="8" t="s">
        <v>84</v>
      </c>
      <c r="I19" s="8" t="s">
        <v>85</v>
      </c>
      <c r="J19" s="8" t="s">
        <v>8</v>
      </c>
      <c r="K19" s="8" t="s">
        <v>2287</v>
      </c>
      <c r="L19" s="283" t="s">
        <v>2273</v>
      </c>
      <c r="M19" s="8" t="s">
        <v>10</v>
      </c>
      <c r="N19" s="8" t="s">
        <v>2288</v>
      </c>
      <c r="O19" s="281"/>
      <c r="P19" s="8" t="s">
        <v>2258</v>
      </c>
      <c r="Q19" s="132"/>
      <c r="R19" s="38"/>
      <c r="S19" s="8"/>
      <c r="T19" s="8"/>
      <c r="U19" s="8"/>
      <c r="V19" s="8"/>
      <c r="W19" s="8"/>
      <c r="X19" s="8"/>
      <c r="Y19" s="8"/>
      <c r="Z19" s="8"/>
      <c r="AA19" s="8"/>
    </row>
    <row r="20" spans="1:27" ht="110.25">
      <c r="A20" s="8" t="s">
        <v>53</v>
      </c>
      <c r="B20" s="29" t="s">
        <v>54</v>
      </c>
      <c r="C20" s="8" t="s">
        <v>81</v>
      </c>
      <c r="D20" s="8" t="s">
        <v>102</v>
      </c>
      <c r="E20" s="69" t="s">
        <v>103</v>
      </c>
      <c r="F20" s="8" t="s">
        <v>2253</v>
      </c>
      <c r="G20" s="8" t="s">
        <v>62</v>
      </c>
      <c r="H20" s="8" t="s">
        <v>84</v>
      </c>
      <c r="I20" s="8" t="s">
        <v>85</v>
      </c>
      <c r="J20" s="8" t="s">
        <v>8</v>
      </c>
      <c r="K20" s="8" t="s">
        <v>2277</v>
      </c>
      <c r="L20" s="283" t="s">
        <v>2273</v>
      </c>
      <c r="M20" s="8" t="s">
        <v>10</v>
      </c>
      <c r="N20" s="8"/>
      <c r="O20" s="281"/>
      <c r="P20" s="8" t="s">
        <v>2289</v>
      </c>
      <c r="Q20" s="132"/>
      <c r="R20" s="38"/>
      <c r="S20" s="8"/>
      <c r="T20" s="8"/>
      <c r="U20" s="8"/>
      <c r="V20" s="8"/>
      <c r="W20" s="8"/>
      <c r="X20" s="8"/>
      <c r="Y20" s="8"/>
      <c r="Z20" s="8"/>
      <c r="AA20" s="8"/>
    </row>
    <row r="21" spans="1:27" ht="142.5" customHeight="1">
      <c r="A21" s="8" t="s">
        <v>53</v>
      </c>
      <c r="B21" s="29" t="s">
        <v>54</v>
      </c>
      <c r="C21" s="8" t="s">
        <v>81</v>
      </c>
      <c r="D21" s="8" t="s">
        <v>104</v>
      </c>
      <c r="E21" s="8" t="s">
        <v>105</v>
      </c>
      <c r="F21" s="8" t="s">
        <v>2259</v>
      </c>
      <c r="G21" s="8" t="s">
        <v>62</v>
      </c>
      <c r="H21" s="8" t="s">
        <v>106</v>
      </c>
      <c r="I21" s="9">
        <v>1</v>
      </c>
      <c r="J21" s="9" t="s">
        <v>8</v>
      </c>
      <c r="K21" s="11"/>
      <c r="L21" s="283" t="s">
        <v>2273</v>
      </c>
      <c r="M21" s="9" t="s">
        <v>10</v>
      </c>
      <c r="N21" s="9" t="s">
        <v>2290</v>
      </c>
      <c r="O21" s="281"/>
      <c r="P21" s="8" t="s">
        <v>2291</v>
      </c>
      <c r="Q21" s="282"/>
      <c r="R21" s="37"/>
      <c r="S21" s="9"/>
      <c r="T21" s="9"/>
      <c r="U21" s="9"/>
      <c r="V21" s="9"/>
      <c r="W21" s="9"/>
      <c r="X21" s="9"/>
      <c r="Y21" s="9"/>
      <c r="Z21" s="9"/>
      <c r="AA21" s="8"/>
    </row>
    <row r="22" spans="1:27" ht="65.25" customHeight="1">
      <c r="A22" s="8" t="s">
        <v>53</v>
      </c>
      <c r="B22" s="29" t="s">
        <v>54</v>
      </c>
      <c r="C22" s="8" t="s">
        <v>81</v>
      </c>
      <c r="D22" s="8" t="s">
        <v>107</v>
      </c>
      <c r="E22" s="8" t="s">
        <v>108</v>
      </c>
      <c r="F22" s="8" t="s">
        <v>2251</v>
      </c>
      <c r="G22" s="8" t="s">
        <v>62</v>
      </c>
      <c r="H22" s="8" t="s">
        <v>109</v>
      </c>
      <c r="I22" s="14" t="s">
        <v>110</v>
      </c>
      <c r="J22" s="8" t="s">
        <v>8</v>
      </c>
      <c r="K22" s="8" t="s">
        <v>2292</v>
      </c>
      <c r="L22" s="283" t="s">
        <v>2273</v>
      </c>
      <c r="M22" s="8" t="s">
        <v>10</v>
      </c>
      <c r="N22" s="8"/>
      <c r="O22" s="281"/>
      <c r="P22" s="8" t="s">
        <v>2293</v>
      </c>
      <c r="Q22" s="132"/>
      <c r="R22" s="38"/>
      <c r="S22" s="8"/>
      <c r="T22" s="8"/>
      <c r="U22" s="8"/>
      <c r="V22" s="8"/>
      <c r="W22" s="8"/>
      <c r="X22" s="8"/>
      <c r="Y22" s="8"/>
      <c r="Z22" s="8"/>
      <c r="AA22" s="8"/>
    </row>
    <row r="23" spans="1:27" ht="110.25">
      <c r="A23" s="8" t="s">
        <v>53</v>
      </c>
      <c r="B23" s="29" t="s">
        <v>54</v>
      </c>
      <c r="C23" s="8" t="s">
        <v>81</v>
      </c>
      <c r="D23" s="8" t="s">
        <v>111</v>
      </c>
      <c r="E23" s="8" t="s">
        <v>112</v>
      </c>
      <c r="F23" s="20" t="s">
        <v>2259</v>
      </c>
      <c r="G23" s="20" t="s">
        <v>62</v>
      </c>
      <c r="H23" s="20" t="s">
        <v>113</v>
      </c>
      <c r="I23" s="22">
        <v>1</v>
      </c>
      <c r="J23" s="22"/>
      <c r="K23" s="20"/>
      <c r="L23" s="278"/>
      <c r="M23" s="22"/>
      <c r="N23" s="22" t="s">
        <v>2294</v>
      </c>
      <c r="O23" s="279"/>
      <c r="P23" s="20" t="s">
        <v>2295</v>
      </c>
      <c r="Q23" s="282"/>
      <c r="R23" s="61"/>
      <c r="S23" s="22"/>
      <c r="T23" s="22"/>
      <c r="U23" s="22"/>
      <c r="V23" s="22"/>
      <c r="W23" s="22"/>
      <c r="X23" s="22"/>
      <c r="Y23" s="22"/>
      <c r="Z23" s="22"/>
      <c r="AA23" s="20"/>
    </row>
    <row r="24" spans="1:27" ht="63.75" customHeight="1">
      <c r="A24" s="8" t="s">
        <v>53</v>
      </c>
      <c r="B24" s="29" t="s">
        <v>54</v>
      </c>
      <c r="C24" s="8" t="s">
        <v>81</v>
      </c>
      <c r="D24" s="8" t="s">
        <v>114</v>
      </c>
      <c r="E24" s="69" t="s">
        <v>115</v>
      </c>
      <c r="F24" s="8" t="s">
        <v>2259</v>
      </c>
      <c r="G24" s="8" t="s">
        <v>62</v>
      </c>
      <c r="H24" s="8" t="s">
        <v>113</v>
      </c>
      <c r="I24" s="9">
        <v>1</v>
      </c>
      <c r="J24" s="9" t="s">
        <v>8</v>
      </c>
      <c r="K24" s="11"/>
      <c r="L24" s="283" t="s">
        <v>1380</v>
      </c>
      <c r="M24" s="9" t="s">
        <v>10</v>
      </c>
      <c r="N24" s="9" t="s">
        <v>2258</v>
      </c>
      <c r="O24" s="279">
        <v>10000</v>
      </c>
      <c r="P24" s="8" t="s">
        <v>2296</v>
      </c>
      <c r="Q24" s="282"/>
      <c r="R24" s="37"/>
      <c r="S24" s="9"/>
      <c r="T24" s="9"/>
      <c r="U24" s="9"/>
      <c r="V24" s="9"/>
      <c r="W24" s="9"/>
      <c r="X24" s="9"/>
      <c r="Y24" s="9"/>
      <c r="Z24" s="9"/>
      <c r="AA24" s="8"/>
    </row>
    <row r="25" spans="1:27" ht="110.25">
      <c r="A25" s="8" t="s">
        <v>53</v>
      </c>
      <c r="B25" s="29" t="s">
        <v>54</v>
      </c>
      <c r="C25" s="8" t="s">
        <v>81</v>
      </c>
      <c r="D25" s="8" t="s">
        <v>116</v>
      </c>
      <c r="E25" s="69" t="s">
        <v>117</v>
      </c>
      <c r="F25" s="8" t="s">
        <v>2259</v>
      </c>
      <c r="G25" s="8" t="s">
        <v>62</v>
      </c>
      <c r="H25" s="8" t="s">
        <v>113</v>
      </c>
      <c r="I25" s="9">
        <v>1</v>
      </c>
      <c r="J25" s="9" t="s">
        <v>8</v>
      </c>
      <c r="K25" s="9"/>
      <c r="L25" s="283" t="s">
        <v>1380</v>
      </c>
      <c r="M25" s="9" t="s">
        <v>10</v>
      </c>
      <c r="N25" s="9" t="s">
        <v>2258</v>
      </c>
      <c r="O25" s="281"/>
      <c r="P25" s="8" t="s">
        <v>2258</v>
      </c>
      <c r="Q25" s="282"/>
      <c r="R25" s="37"/>
      <c r="S25" s="9"/>
      <c r="T25" s="9"/>
      <c r="U25" s="9"/>
      <c r="V25" s="9"/>
      <c r="W25" s="9"/>
      <c r="X25" s="9"/>
      <c r="Y25" s="9"/>
      <c r="Z25" s="9"/>
      <c r="AA25" s="8"/>
    </row>
    <row r="26" spans="1:27" ht="110.25">
      <c r="A26" s="8" t="s">
        <v>53</v>
      </c>
      <c r="B26" s="29" t="s">
        <v>54</v>
      </c>
      <c r="C26" s="8" t="s">
        <v>81</v>
      </c>
      <c r="D26" s="8" t="s">
        <v>118</v>
      </c>
      <c r="E26" s="69" t="s">
        <v>119</v>
      </c>
      <c r="F26" s="8" t="s">
        <v>2259</v>
      </c>
      <c r="G26" s="8" t="s">
        <v>62</v>
      </c>
      <c r="H26" s="8" t="s">
        <v>113</v>
      </c>
      <c r="I26" s="9">
        <v>1</v>
      </c>
      <c r="J26" s="9" t="s">
        <v>8</v>
      </c>
      <c r="K26" s="9"/>
      <c r="L26" s="283" t="s">
        <v>1380</v>
      </c>
      <c r="M26" s="9" t="s">
        <v>10</v>
      </c>
      <c r="N26" s="9" t="s">
        <v>2258</v>
      </c>
      <c r="O26" s="281"/>
      <c r="P26" s="8" t="s">
        <v>2258</v>
      </c>
      <c r="Q26" s="282"/>
      <c r="R26" s="37"/>
      <c r="S26" s="9"/>
      <c r="T26" s="9"/>
      <c r="U26" s="9"/>
      <c r="V26" s="9"/>
      <c r="W26" s="9"/>
      <c r="X26" s="9"/>
      <c r="Y26" s="9"/>
      <c r="Z26" s="9"/>
      <c r="AA26" s="8"/>
    </row>
    <row r="27" spans="1:27" ht="94.5">
      <c r="A27" s="8" t="s">
        <v>53</v>
      </c>
      <c r="B27" s="29" t="s">
        <v>54</v>
      </c>
      <c r="C27" s="8" t="s">
        <v>81</v>
      </c>
      <c r="D27" s="8" t="s">
        <v>120</v>
      </c>
      <c r="E27" s="69" t="s">
        <v>121</v>
      </c>
      <c r="F27" s="8" t="s">
        <v>2297</v>
      </c>
      <c r="G27" s="8" t="s">
        <v>62</v>
      </c>
      <c r="H27" s="8" t="s">
        <v>113</v>
      </c>
      <c r="I27" s="9">
        <v>1</v>
      </c>
      <c r="J27" s="9" t="s">
        <v>8</v>
      </c>
      <c r="K27" s="9"/>
      <c r="L27" s="283" t="s">
        <v>1380</v>
      </c>
      <c r="M27" s="9" t="s">
        <v>10</v>
      </c>
      <c r="N27" s="9" t="s">
        <v>2258</v>
      </c>
      <c r="O27" s="281"/>
      <c r="P27" s="8" t="s">
        <v>2258</v>
      </c>
      <c r="Q27" s="282"/>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283"/>
      <c r="M28" s="8"/>
      <c r="N28" s="8"/>
      <c r="O28" s="281"/>
      <c r="P28" s="8"/>
      <c r="Q28" s="132"/>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283"/>
      <c r="M29" s="8"/>
      <c r="N29" s="8"/>
      <c r="O29" s="281"/>
      <c r="P29" s="8"/>
      <c r="Q29" s="132"/>
      <c r="R29" s="38"/>
      <c r="S29" s="8"/>
      <c r="T29" s="8"/>
      <c r="U29" s="8"/>
      <c r="V29" s="8"/>
      <c r="W29" s="8"/>
      <c r="X29" s="8"/>
      <c r="Y29" s="8"/>
      <c r="Z29" s="8"/>
      <c r="AA29" s="8"/>
    </row>
    <row r="30" spans="1:27" ht="94.5">
      <c r="A30" s="8" t="s">
        <v>53</v>
      </c>
      <c r="B30" s="29" t="s">
        <v>54</v>
      </c>
      <c r="C30" s="8" t="s">
        <v>128</v>
      </c>
      <c r="D30" s="8" t="s">
        <v>129</v>
      </c>
      <c r="E30" s="8" t="s">
        <v>130</v>
      </c>
      <c r="F30" s="20" t="s">
        <v>2251</v>
      </c>
      <c r="G30" s="20" t="s">
        <v>131</v>
      </c>
      <c r="H30" s="20"/>
      <c r="I30" s="22"/>
      <c r="J30" s="22"/>
      <c r="K30" s="20"/>
      <c r="L30" s="278"/>
      <c r="M30" s="22"/>
      <c r="N30" s="22"/>
      <c r="O30" s="279"/>
      <c r="P30" s="20"/>
      <c r="Q30" s="282"/>
      <c r="R30" s="61"/>
      <c r="S30" s="22"/>
      <c r="T30" s="22"/>
      <c r="U30" s="22"/>
      <c r="V30" s="22"/>
      <c r="W30" s="22"/>
      <c r="X30" s="22"/>
      <c r="Y30" s="22"/>
      <c r="Z30" s="22"/>
      <c r="AA30" s="20"/>
    </row>
    <row r="31" spans="1:27" ht="94.5">
      <c r="A31" s="8" t="s">
        <v>53</v>
      </c>
      <c r="B31" s="29" t="s">
        <v>54</v>
      </c>
      <c r="C31" s="8" t="s">
        <v>128</v>
      </c>
      <c r="D31" s="8" t="s">
        <v>132</v>
      </c>
      <c r="E31" s="69" t="s">
        <v>133</v>
      </c>
      <c r="F31" s="8" t="s">
        <v>2251</v>
      </c>
      <c r="G31" s="8" t="s">
        <v>131</v>
      </c>
      <c r="H31" s="8" t="s">
        <v>134</v>
      </c>
      <c r="I31" s="8" t="s">
        <v>135</v>
      </c>
      <c r="J31" s="8" t="s">
        <v>8</v>
      </c>
      <c r="K31" s="8" t="s">
        <v>2298</v>
      </c>
      <c r="L31" s="283" t="s">
        <v>2299</v>
      </c>
      <c r="M31" s="8" t="s">
        <v>9</v>
      </c>
      <c r="N31" s="8" t="s">
        <v>2300</v>
      </c>
      <c r="O31" s="281">
        <v>25000</v>
      </c>
      <c r="P31" s="8" t="s">
        <v>2301</v>
      </c>
      <c r="Q31" s="132"/>
      <c r="R31" s="38"/>
      <c r="S31" s="8"/>
      <c r="T31" s="8"/>
      <c r="U31" s="8"/>
      <c r="V31" s="8"/>
      <c r="W31" s="8"/>
      <c r="X31" s="8"/>
      <c r="Y31" s="8"/>
      <c r="Z31" s="8"/>
      <c r="AA31" s="8"/>
    </row>
    <row r="32" spans="1:27" ht="94.5">
      <c r="A32" s="8" t="s">
        <v>53</v>
      </c>
      <c r="B32" s="29" t="s">
        <v>54</v>
      </c>
      <c r="C32" s="8" t="s">
        <v>128</v>
      </c>
      <c r="D32" s="8" t="s">
        <v>136</v>
      </c>
      <c r="E32" s="69" t="s">
        <v>137</v>
      </c>
      <c r="F32" s="8" t="s">
        <v>2251</v>
      </c>
      <c r="G32" s="8" t="s">
        <v>131</v>
      </c>
      <c r="H32" s="8" t="s">
        <v>138</v>
      </c>
      <c r="I32" s="8" t="s">
        <v>139</v>
      </c>
      <c r="J32" s="8" t="s">
        <v>1191</v>
      </c>
      <c r="K32" s="8" t="s">
        <v>2302</v>
      </c>
      <c r="L32" s="283" t="s">
        <v>2299</v>
      </c>
      <c r="M32" s="8" t="s">
        <v>9</v>
      </c>
      <c r="N32" s="8" t="s">
        <v>2258</v>
      </c>
      <c r="O32" s="281" t="s">
        <v>2303</v>
      </c>
      <c r="P32" s="8" t="s">
        <v>2304</v>
      </c>
      <c r="Q32" s="132"/>
      <c r="R32" s="38"/>
      <c r="S32" s="8"/>
      <c r="T32" s="8"/>
      <c r="U32" s="8"/>
      <c r="V32" s="8"/>
      <c r="W32" s="8"/>
      <c r="X32" s="8"/>
      <c r="Y32" s="8"/>
      <c r="Z32" s="8"/>
      <c r="AA32" s="8"/>
    </row>
    <row r="33" spans="1:27" ht="94.5">
      <c r="A33" s="8" t="s">
        <v>53</v>
      </c>
      <c r="B33" s="29" t="s">
        <v>54</v>
      </c>
      <c r="C33" s="8" t="s">
        <v>128</v>
      </c>
      <c r="D33" s="8" t="s">
        <v>140</v>
      </c>
      <c r="E33" s="69" t="s">
        <v>141</v>
      </c>
      <c r="F33" s="8" t="s">
        <v>2251</v>
      </c>
      <c r="G33" s="8" t="s">
        <v>131</v>
      </c>
      <c r="H33" s="8" t="s">
        <v>142</v>
      </c>
      <c r="I33" s="8" t="s">
        <v>143</v>
      </c>
      <c r="J33" s="8" t="s">
        <v>1191</v>
      </c>
      <c r="K33" s="8" t="s">
        <v>2302</v>
      </c>
      <c r="L33" s="283" t="s">
        <v>2299</v>
      </c>
      <c r="M33" s="8" t="s">
        <v>9</v>
      </c>
      <c r="N33" s="8" t="s">
        <v>2258</v>
      </c>
      <c r="O33" s="281" t="s">
        <v>2303</v>
      </c>
      <c r="P33" s="8" t="s">
        <v>2304</v>
      </c>
      <c r="Q33" s="132"/>
      <c r="R33" s="38"/>
      <c r="S33" s="8"/>
      <c r="T33" s="8"/>
      <c r="U33" s="8"/>
      <c r="V33" s="8"/>
      <c r="W33" s="8"/>
      <c r="X33" s="8"/>
      <c r="Y33" s="8"/>
      <c r="Z33" s="8"/>
      <c r="AA33" s="8"/>
    </row>
    <row r="34" spans="1:27" ht="94.5">
      <c r="A34" s="8" t="s">
        <v>53</v>
      </c>
      <c r="B34" s="29" t="s">
        <v>54</v>
      </c>
      <c r="C34" s="8" t="s">
        <v>128</v>
      </c>
      <c r="D34" s="8" t="s">
        <v>144</v>
      </c>
      <c r="E34" s="12" t="s">
        <v>145</v>
      </c>
      <c r="F34" s="20" t="s">
        <v>2251</v>
      </c>
      <c r="G34" s="20" t="s">
        <v>131</v>
      </c>
      <c r="H34" s="20"/>
      <c r="I34" s="22"/>
      <c r="J34" s="22"/>
      <c r="K34" s="20"/>
      <c r="L34" s="278"/>
      <c r="M34" s="22"/>
      <c r="N34" s="22"/>
      <c r="O34" s="279"/>
      <c r="P34" s="20" t="s">
        <v>2305</v>
      </c>
      <c r="Q34" s="282"/>
      <c r="R34" s="61"/>
      <c r="S34" s="22"/>
      <c r="T34" s="22"/>
      <c r="U34" s="22"/>
      <c r="V34" s="22"/>
      <c r="W34" s="22"/>
      <c r="X34" s="22"/>
      <c r="Y34" s="22"/>
      <c r="Z34" s="22"/>
      <c r="AA34" s="20"/>
    </row>
    <row r="35" spans="1:27" ht="94.5">
      <c r="A35" s="8" t="s">
        <v>53</v>
      </c>
      <c r="B35" s="29" t="s">
        <v>54</v>
      </c>
      <c r="C35" s="8" t="s">
        <v>128</v>
      </c>
      <c r="D35" s="8" t="s">
        <v>146</v>
      </c>
      <c r="E35" s="69" t="s">
        <v>147</v>
      </c>
      <c r="F35" s="8" t="s">
        <v>2251</v>
      </c>
      <c r="G35" s="8" t="s">
        <v>131</v>
      </c>
      <c r="H35" s="12" t="s">
        <v>148</v>
      </c>
      <c r="I35" s="8" t="s">
        <v>149</v>
      </c>
      <c r="J35" s="12" t="s">
        <v>8</v>
      </c>
      <c r="K35" s="12" t="s">
        <v>2306</v>
      </c>
      <c r="L35" s="284" t="s">
        <v>2307</v>
      </c>
      <c r="M35" s="12" t="s">
        <v>10</v>
      </c>
      <c r="N35" s="12" t="s">
        <v>2308</v>
      </c>
      <c r="O35" s="285">
        <v>8000</v>
      </c>
      <c r="P35" s="8" t="s">
        <v>2309</v>
      </c>
      <c r="Q35" s="286"/>
      <c r="R35" s="40"/>
      <c r="S35" s="12"/>
      <c r="T35" s="12"/>
      <c r="U35" s="12"/>
      <c r="V35" s="12"/>
      <c r="W35" s="12"/>
      <c r="X35" s="12"/>
      <c r="Y35" s="12"/>
      <c r="Z35" s="12"/>
      <c r="AA35" s="8"/>
    </row>
    <row r="36" spans="1:27" ht="110.25">
      <c r="A36" s="8" t="s">
        <v>53</v>
      </c>
      <c r="B36" s="29" t="s">
        <v>54</v>
      </c>
      <c r="C36" s="8" t="s">
        <v>128</v>
      </c>
      <c r="D36" s="8" t="s">
        <v>150</v>
      </c>
      <c r="E36" s="69" t="s">
        <v>151</v>
      </c>
      <c r="F36" s="8" t="s">
        <v>2251</v>
      </c>
      <c r="G36" s="8" t="s">
        <v>131</v>
      </c>
      <c r="H36" s="12" t="s">
        <v>152</v>
      </c>
      <c r="I36" s="8" t="s">
        <v>153</v>
      </c>
      <c r="J36" s="8" t="s">
        <v>8</v>
      </c>
      <c r="K36" s="8" t="s">
        <v>2306</v>
      </c>
      <c r="L36" s="283" t="s">
        <v>2310</v>
      </c>
      <c r="M36" s="8" t="s">
        <v>9</v>
      </c>
      <c r="N36" s="8" t="s">
        <v>2311</v>
      </c>
      <c r="O36" s="281">
        <v>25000</v>
      </c>
      <c r="P36" s="8" t="s">
        <v>2309</v>
      </c>
      <c r="Q36" s="132"/>
      <c r="R36" s="38"/>
      <c r="S36" s="8"/>
      <c r="T36" s="8"/>
      <c r="U36" s="8"/>
      <c r="V36" s="8"/>
      <c r="W36" s="8"/>
      <c r="X36" s="8"/>
      <c r="Y36" s="8"/>
      <c r="Z36" s="8"/>
      <c r="AA36" s="8"/>
    </row>
    <row r="37" spans="1:27" ht="63">
      <c r="A37" s="8" t="s">
        <v>53</v>
      </c>
      <c r="B37" s="29" t="s">
        <v>54</v>
      </c>
      <c r="C37" s="8" t="s">
        <v>128</v>
      </c>
      <c r="D37" s="8" t="s">
        <v>154</v>
      </c>
      <c r="E37" s="12" t="s">
        <v>155</v>
      </c>
      <c r="F37" s="20"/>
      <c r="G37" s="20" t="s">
        <v>131</v>
      </c>
      <c r="H37" s="20"/>
      <c r="I37" s="22"/>
      <c r="J37" s="22"/>
      <c r="K37" s="20"/>
      <c r="L37" s="278"/>
      <c r="M37" s="22"/>
      <c r="N37" s="22"/>
      <c r="O37" s="279"/>
      <c r="P37" s="20"/>
      <c r="Q37" s="282"/>
      <c r="R37" s="61"/>
      <c r="S37" s="22"/>
      <c r="T37" s="22"/>
      <c r="U37" s="22"/>
      <c r="V37" s="22"/>
      <c r="W37" s="22"/>
      <c r="X37" s="22"/>
      <c r="Y37" s="22"/>
      <c r="Z37" s="22"/>
      <c r="AA37" s="20"/>
    </row>
    <row r="38" spans="1:27" ht="94.5">
      <c r="A38" s="8" t="s">
        <v>53</v>
      </c>
      <c r="B38" s="29" t="s">
        <v>54</v>
      </c>
      <c r="C38" s="8" t="s">
        <v>128</v>
      </c>
      <c r="D38" s="8" t="s">
        <v>156</v>
      </c>
      <c r="E38" s="69" t="s">
        <v>157</v>
      </c>
      <c r="F38" s="8" t="s">
        <v>2251</v>
      </c>
      <c r="G38" s="8" t="s">
        <v>131</v>
      </c>
      <c r="H38" s="12" t="s">
        <v>158</v>
      </c>
      <c r="I38" s="12" t="s">
        <v>110</v>
      </c>
      <c r="J38" s="12" t="s">
        <v>8</v>
      </c>
      <c r="K38" s="12" t="s">
        <v>2306</v>
      </c>
      <c r="L38" s="284" t="s">
        <v>2265</v>
      </c>
      <c r="M38" s="12" t="s">
        <v>9</v>
      </c>
      <c r="N38" s="12" t="s">
        <v>2312</v>
      </c>
      <c r="O38" s="285" t="s">
        <v>2303</v>
      </c>
      <c r="P38" s="8" t="s">
        <v>2304</v>
      </c>
      <c r="Q38" s="286"/>
      <c r="R38" s="40"/>
      <c r="S38" s="12"/>
      <c r="T38" s="12"/>
      <c r="U38" s="12"/>
      <c r="V38" s="12"/>
      <c r="W38" s="12"/>
      <c r="X38" s="12"/>
      <c r="Y38" s="12"/>
      <c r="Z38" s="12"/>
      <c r="AA38" s="8"/>
    </row>
    <row r="39" spans="1:27" ht="94.5">
      <c r="A39" s="8" t="s">
        <v>53</v>
      </c>
      <c r="B39" s="29" t="s">
        <v>54</v>
      </c>
      <c r="C39" s="8" t="s">
        <v>128</v>
      </c>
      <c r="D39" s="8" t="s">
        <v>159</v>
      </c>
      <c r="E39" s="69" t="s">
        <v>160</v>
      </c>
      <c r="F39" s="8" t="s">
        <v>2251</v>
      </c>
      <c r="G39" s="8" t="s">
        <v>131</v>
      </c>
      <c r="H39" s="12" t="s">
        <v>161</v>
      </c>
      <c r="I39" s="12" t="s">
        <v>162</v>
      </c>
      <c r="J39" s="8" t="s">
        <v>8</v>
      </c>
      <c r="K39" s="8" t="s">
        <v>2258</v>
      </c>
      <c r="L39" s="283" t="s">
        <v>2265</v>
      </c>
      <c r="M39" s="8" t="s">
        <v>9</v>
      </c>
      <c r="N39" s="8" t="s">
        <v>2258</v>
      </c>
      <c r="O39" s="281" t="s">
        <v>2303</v>
      </c>
      <c r="P39" s="8" t="s">
        <v>2258</v>
      </c>
      <c r="Q39" s="132"/>
      <c r="R39" s="38"/>
      <c r="S39" s="8"/>
      <c r="T39" s="8"/>
      <c r="U39" s="8"/>
      <c r="V39" s="8"/>
      <c r="W39" s="8"/>
      <c r="X39" s="8"/>
      <c r="Y39" s="8"/>
      <c r="Z39" s="8"/>
      <c r="AA39" s="8"/>
    </row>
    <row r="40" spans="1:27" ht="94.5">
      <c r="A40" s="8" t="s">
        <v>53</v>
      </c>
      <c r="B40" s="29" t="s">
        <v>54</v>
      </c>
      <c r="C40" s="8" t="s">
        <v>128</v>
      </c>
      <c r="D40" s="8" t="s">
        <v>163</v>
      </c>
      <c r="E40" s="69" t="s">
        <v>164</v>
      </c>
      <c r="F40" s="8" t="s">
        <v>2251</v>
      </c>
      <c r="G40" s="8" t="s">
        <v>131</v>
      </c>
      <c r="H40" s="12" t="s">
        <v>165</v>
      </c>
      <c r="I40" s="12" t="s">
        <v>166</v>
      </c>
      <c r="J40" s="12" t="s">
        <v>8</v>
      </c>
      <c r="K40" s="12" t="s">
        <v>2258</v>
      </c>
      <c r="L40" s="284" t="s">
        <v>2265</v>
      </c>
      <c r="M40" s="12" t="s">
        <v>9</v>
      </c>
      <c r="N40" s="12" t="s">
        <v>2258</v>
      </c>
      <c r="O40" s="285" t="s">
        <v>2303</v>
      </c>
      <c r="P40" s="8" t="s">
        <v>2258</v>
      </c>
      <c r="Q40" s="286"/>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287"/>
      <c r="M41" s="13"/>
      <c r="N41" s="13"/>
      <c r="O41" s="288"/>
      <c r="P41" s="8"/>
      <c r="Q41" s="286"/>
      <c r="R41" s="41"/>
      <c r="S41" s="13"/>
      <c r="T41" s="13"/>
      <c r="U41" s="13"/>
      <c r="V41" s="13"/>
      <c r="W41" s="13"/>
      <c r="X41" s="13"/>
      <c r="Y41" s="13"/>
      <c r="Z41" s="13"/>
      <c r="AA41" s="8"/>
    </row>
    <row r="42" spans="1:27" ht="141.75">
      <c r="A42" s="8" t="s">
        <v>53</v>
      </c>
      <c r="B42" s="29" t="s">
        <v>54</v>
      </c>
      <c r="C42" s="8" t="s">
        <v>128</v>
      </c>
      <c r="D42" s="8" t="s">
        <v>170</v>
      </c>
      <c r="E42" s="12" t="s">
        <v>171</v>
      </c>
      <c r="F42" s="8" t="s">
        <v>2259</v>
      </c>
      <c r="G42" s="8" t="s">
        <v>62</v>
      </c>
      <c r="H42" s="12"/>
      <c r="I42" s="12"/>
      <c r="J42" s="12" t="s">
        <v>8</v>
      </c>
      <c r="K42" s="13" t="s">
        <v>2313</v>
      </c>
      <c r="L42" s="287" t="s">
        <v>2273</v>
      </c>
      <c r="M42" s="13"/>
      <c r="N42" s="13"/>
      <c r="O42" s="288" t="s">
        <v>2303</v>
      </c>
      <c r="P42" s="8" t="s">
        <v>2314</v>
      </c>
      <c r="Q42" s="286"/>
      <c r="R42" s="41"/>
      <c r="S42" s="13"/>
      <c r="T42" s="13"/>
      <c r="U42" s="13"/>
      <c r="V42" s="13"/>
      <c r="W42" s="13"/>
      <c r="X42" s="13"/>
      <c r="Y42" s="13"/>
      <c r="Z42" s="13"/>
      <c r="AA42" s="8"/>
    </row>
    <row r="43" spans="1:27" ht="94.5">
      <c r="A43" s="8" t="s">
        <v>53</v>
      </c>
      <c r="B43" s="29" t="s">
        <v>54</v>
      </c>
      <c r="C43" s="8" t="s">
        <v>128</v>
      </c>
      <c r="D43" s="8" t="s">
        <v>172</v>
      </c>
      <c r="E43" s="69" t="s">
        <v>173</v>
      </c>
      <c r="F43" s="8" t="s">
        <v>2297</v>
      </c>
      <c r="G43" s="8" t="s">
        <v>62</v>
      </c>
      <c r="H43" s="12" t="s">
        <v>174</v>
      </c>
      <c r="I43" s="12" t="s">
        <v>175</v>
      </c>
      <c r="J43" s="12" t="s">
        <v>8</v>
      </c>
      <c r="K43" s="13" t="s">
        <v>2313</v>
      </c>
      <c r="L43" s="287" t="s">
        <v>2273</v>
      </c>
      <c r="M43" s="13"/>
      <c r="N43" s="13"/>
      <c r="O43" s="288" t="s">
        <v>2303</v>
      </c>
      <c r="P43" s="8"/>
      <c r="Q43" s="286"/>
      <c r="R43" s="41"/>
      <c r="S43" s="13"/>
      <c r="T43" s="13"/>
      <c r="U43" s="13"/>
      <c r="V43" s="13"/>
      <c r="W43" s="13"/>
      <c r="X43" s="13"/>
      <c r="Y43" s="13"/>
      <c r="Z43" s="13"/>
      <c r="AA43" s="8"/>
    </row>
    <row r="44" spans="1:27" ht="110.25">
      <c r="A44" s="8" t="s">
        <v>53</v>
      </c>
      <c r="B44" s="29" t="s">
        <v>54</v>
      </c>
      <c r="C44" s="8" t="s">
        <v>128</v>
      </c>
      <c r="D44" s="8" t="s">
        <v>176</v>
      </c>
      <c r="E44" s="69" t="s">
        <v>177</v>
      </c>
      <c r="F44" s="8" t="s">
        <v>2259</v>
      </c>
      <c r="G44" s="8" t="s">
        <v>62</v>
      </c>
      <c r="H44" s="12" t="s">
        <v>178</v>
      </c>
      <c r="I44" s="12" t="s">
        <v>179</v>
      </c>
      <c r="J44" s="8" t="s">
        <v>8</v>
      </c>
      <c r="K44" s="14" t="s">
        <v>2315</v>
      </c>
      <c r="L44" s="289" t="s">
        <v>2273</v>
      </c>
      <c r="M44" s="14"/>
      <c r="N44" s="14"/>
      <c r="O44" s="290" t="s">
        <v>2303</v>
      </c>
      <c r="P44" s="8"/>
      <c r="Q44" s="132"/>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287"/>
      <c r="M45" s="16"/>
      <c r="N45" s="16"/>
      <c r="O45" s="288"/>
      <c r="P45" s="8"/>
      <c r="Q45" s="291"/>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287"/>
      <c r="M46" s="16"/>
      <c r="N46" s="16"/>
      <c r="O46" s="288"/>
      <c r="P46" s="8"/>
      <c r="Q46" s="291"/>
      <c r="R46" s="43"/>
      <c r="S46" s="16"/>
      <c r="T46" s="16"/>
      <c r="U46" s="16"/>
      <c r="V46" s="16"/>
      <c r="W46" s="16"/>
      <c r="X46" s="16"/>
      <c r="Y46" s="16"/>
      <c r="Z46" s="16"/>
      <c r="AA46" s="8"/>
    </row>
    <row r="47" spans="1:27" ht="157.5">
      <c r="A47" s="8" t="s">
        <v>53</v>
      </c>
      <c r="B47" s="29" t="s">
        <v>54</v>
      </c>
      <c r="C47" s="8" t="s">
        <v>128</v>
      </c>
      <c r="D47" s="8" t="s">
        <v>185</v>
      </c>
      <c r="E47" s="12" t="s">
        <v>186</v>
      </c>
      <c r="F47" s="8" t="s">
        <v>2259</v>
      </c>
      <c r="G47" s="8" t="s">
        <v>62</v>
      </c>
      <c r="H47" s="12" t="s">
        <v>187</v>
      </c>
      <c r="I47" s="8" t="s">
        <v>188</v>
      </c>
      <c r="J47" s="12" t="s">
        <v>8</v>
      </c>
      <c r="K47" s="13" t="s">
        <v>2316</v>
      </c>
      <c r="L47" s="287" t="s">
        <v>2273</v>
      </c>
      <c r="M47" s="13"/>
      <c r="N47" s="13"/>
      <c r="O47" s="288" t="s">
        <v>2303</v>
      </c>
      <c r="P47" s="8" t="s">
        <v>2317</v>
      </c>
      <c r="Q47" s="286"/>
      <c r="R47" s="41"/>
      <c r="S47" s="13"/>
      <c r="T47" s="13"/>
      <c r="U47" s="13"/>
      <c r="V47" s="13"/>
      <c r="W47" s="13"/>
      <c r="X47" s="13"/>
      <c r="Y47" s="13"/>
      <c r="Z47" s="13"/>
      <c r="AA47" s="8"/>
    </row>
    <row r="48" spans="1:27" ht="110.25">
      <c r="A48" s="8" t="s">
        <v>53</v>
      </c>
      <c r="B48" s="29" t="s">
        <v>54</v>
      </c>
      <c r="C48" s="8" t="s">
        <v>128</v>
      </c>
      <c r="D48" s="8" t="s">
        <v>189</v>
      </c>
      <c r="E48" s="12" t="s">
        <v>190</v>
      </c>
      <c r="F48" s="8" t="s">
        <v>2259</v>
      </c>
      <c r="G48" s="8" t="s">
        <v>62</v>
      </c>
      <c r="H48" s="12" t="s">
        <v>191</v>
      </c>
      <c r="I48" s="12" t="s">
        <v>192</v>
      </c>
      <c r="J48" s="12" t="s">
        <v>8</v>
      </c>
      <c r="K48" s="13" t="s">
        <v>2315</v>
      </c>
      <c r="L48" s="287" t="s">
        <v>2273</v>
      </c>
      <c r="M48" s="13"/>
      <c r="N48" s="13"/>
      <c r="O48" s="288" t="s">
        <v>2303</v>
      </c>
      <c r="P48" s="8" t="s">
        <v>2318</v>
      </c>
      <c r="Q48" s="286"/>
      <c r="R48" s="41"/>
      <c r="S48" s="13"/>
      <c r="T48" s="13"/>
      <c r="U48" s="13"/>
      <c r="V48" s="13"/>
      <c r="W48" s="13"/>
      <c r="X48" s="13"/>
      <c r="Y48" s="13"/>
      <c r="Z48" s="13"/>
      <c r="AA48" s="8"/>
    </row>
    <row r="49" spans="1:27" ht="141.75">
      <c r="A49" s="8" t="s">
        <v>53</v>
      </c>
      <c r="B49" s="29" t="s">
        <v>54</v>
      </c>
      <c r="C49" s="8" t="s">
        <v>128</v>
      </c>
      <c r="D49" s="8" t="s">
        <v>193</v>
      </c>
      <c r="E49" s="12" t="s">
        <v>190</v>
      </c>
      <c r="F49" s="8" t="s">
        <v>2297</v>
      </c>
      <c r="G49" s="8" t="s">
        <v>62</v>
      </c>
      <c r="H49" s="12" t="s">
        <v>194</v>
      </c>
      <c r="I49" s="12" t="s">
        <v>135</v>
      </c>
      <c r="J49" s="8" t="s">
        <v>8</v>
      </c>
      <c r="K49" s="14" t="s">
        <v>2319</v>
      </c>
      <c r="L49" s="289" t="s">
        <v>2273</v>
      </c>
      <c r="M49" s="14" t="s">
        <v>11</v>
      </c>
      <c r="N49" s="14" t="s">
        <v>2320</v>
      </c>
      <c r="O49" s="290" t="s">
        <v>2303</v>
      </c>
      <c r="P49" s="8" t="s">
        <v>2258</v>
      </c>
      <c r="Q49" s="132"/>
      <c r="R49" s="42"/>
      <c r="S49" s="14"/>
      <c r="T49" s="14"/>
      <c r="U49" s="14"/>
      <c r="V49" s="14"/>
      <c r="W49" s="14"/>
      <c r="X49" s="14"/>
      <c r="Y49" s="14"/>
      <c r="Z49" s="14"/>
      <c r="AA49" s="8"/>
    </row>
    <row r="50" spans="1:27" ht="141.75">
      <c r="A50" s="8" t="s">
        <v>53</v>
      </c>
      <c r="B50" s="29" t="s">
        <v>195</v>
      </c>
      <c r="C50" s="8" t="s">
        <v>196</v>
      </c>
      <c r="D50" s="8" t="s">
        <v>197</v>
      </c>
      <c r="E50" s="8" t="s">
        <v>198</v>
      </c>
      <c r="F50" s="20"/>
      <c r="G50" s="20" t="s">
        <v>62</v>
      </c>
      <c r="H50" s="20"/>
      <c r="I50" s="22"/>
      <c r="J50" s="22"/>
      <c r="K50" s="20"/>
      <c r="L50" s="278"/>
      <c r="M50" s="22"/>
      <c r="N50" s="22"/>
      <c r="O50" s="279"/>
      <c r="P50" s="20" t="s">
        <v>2321</v>
      </c>
      <c r="Q50" s="282"/>
      <c r="R50" s="61"/>
      <c r="S50" s="22"/>
      <c r="T50" s="22"/>
      <c r="U50" s="22"/>
      <c r="V50" s="22"/>
      <c r="W50" s="22"/>
      <c r="X50" s="22"/>
      <c r="Y50" s="22"/>
      <c r="Z50" s="22"/>
      <c r="AA50" s="20"/>
    </row>
    <row r="51" spans="1:27" ht="94.5">
      <c r="A51" s="8" t="s">
        <v>53</v>
      </c>
      <c r="B51" s="29" t="s">
        <v>195</v>
      </c>
      <c r="C51" s="8" t="s">
        <v>196</v>
      </c>
      <c r="D51" s="8" t="s">
        <v>199</v>
      </c>
      <c r="E51" s="69" t="s">
        <v>200</v>
      </c>
      <c r="F51" s="8" t="s">
        <v>2251</v>
      </c>
      <c r="G51" s="8" t="s">
        <v>62</v>
      </c>
      <c r="H51" s="8" t="s">
        <v>201</v>
      </c>
      <c r="I51" s="15">
        <v>1</v>
      </c>
      <c r="J51" s="9" t="s">
        <v>1191</v>
      </c>
      <c r="K51" s="9" t="s">
        <v>2322</v>
      </c>
      <c r="L51" s="283" t="s">
        <v>2270</v>
      </c>
      <c r="M51" s="9" t="s">
        <v>10</v>
      </c>
      <c r="N51" s="9" t="s">
        <v>2323</v>
      </c>
      <c r="O51" s="281"/>
      <c r="P51" s="8" t="s">
        <v>2324</v>
      </c>
      <c r="Q51" s="282"/>
      <c r="R51" s="37"/>
      <c r="S51" s="9"/>
      <c r="T51" s="9"/>
      <c r="U51" s="9"/>
      <c r="V51" s="9"/>
      <c r="W51" s="9"/>
      <c r="X51" s="9"/>
      <c r="Y51" s="9"/>
      <c r="Z51" s="9"/>
      <c r="AA51" s="8"/>
    </row>
    <row r="52" spans="1:27" ht="34.5" customHeight="1">
      <c r="A52" s="8" t="s">
        <v>53</v>
      </c>
      <c r="B52" s="29" t="s">
        <v>195</v>
      </c>
      <c r="C52" s="8" t="s">
        <v>196</v>
      </c>
      <c r="D52" s="8" t="s">
        <v>202</v>
      </c>
      <c r="E52" s="69" t="s">
        <v>203</v>
      </c>
      <c r="F52" s="8" t="s">
        <v>2251</v>
      </c>
      <c r="G52" s="8" t="s">
        <v>62</v>
      </c>
      <c r="H52" s="8" t="s">
        <v>204</v>
      </c>
      <c r="I52" s="15">
        <v>1</v>
      </c>
      <c r="J52" s="8" t="s">
        <v>1191</v>
      </c>
      <c r="K52" s="8" t="s">
        <v>2325</v>
      </c>
      <c r="L52" s="283" t="s">
        <v>1380</v>
      </c>
      <c r="M52" s="8" t="s">
        <v>10</v>
      </c>
      <c r="N52" s="8" t="s">
        <v>2326</v>
      </c>
      <c r="O52" s="281"/>
      <c r="P52" s="8" t="s">
        <v>2258</v>
      </c>
      <c r="Q52" s="132"/>
      <c r="R52" s="38"/>
      <c r="S52" s="8"/>
      <c r="T52" s="8"/>
      <c r="U52" s="8"/>
      <c r="V52" s="8"/>
      <c r="W52" s="8"/>
      <c r="X52" s="8"/>
      <c r="Y52" s="8"/>
      <c r="Z52" s="8"/>
      <c r="AA52" s="8"/>
    </row>
    <row r="53" spans="1:27" ht="47.25">
      <c r="A53" s="8" t="s">
        <v>53</v>
      </c>
      <c r="B53" s="29" t="s">
        <v>195</v>
      </c>
      <c r="C53" s="8" t="s">
        <v>196</v>
      </c>
      <c r="D53" s="8" t="s">
        <v>205</v>
      </c>
      <c r="E53" s="8" t="s">
        <v>206</v>
      </c>
      <c r="F53" s="20"/>
      <c r="G53" s="20" t="s">
        <v>62</v>
      </c>
      <c r="H53" s="20"/>
      <c r="I53" s="22"/>
      <c r="J53" s="22"/>
      <c r="K53" s="20"/>
      <c r="L53" s="278"/>
      <c r="M53" s="22"/>
      <c r="N53" s="22"/>
      <c r="O53" s="279"/>
      <c r="P53" s="20"/>
      <c r="Q53" s="282"/>
      <c r="R53" s="61"/>
      <c r="S53" s="22"/>
      <c r="T53" s="22"/>
      <c r="U53" s="22"/>
      <c r="V53" s="22"/>
      <c r="W53" s="22"/>
      <c r="X53" s="22"/>
      <c r="Y53" s="22"/>
      <c r="Z53" s="22"/>
      <c r="AA53" s="20"/>
    </row>
    <row r="54" spans="1:27" ht="110.25">
      <c r="A54" s="8" t="s">
        <v>53</v>
      </c>
      <c r="B54" s="29" t="s">
        <v>195</v>
      </c>
      <c r="C54" s="8" t="s">
        <v>196</v>
      </c>
      <c r="D54" s="8" t="s">
        <v>207</v>
      </c>
      <c r="E54" s="69" t="s">
        <v>208</v>
      </c>
      <c r="F54" s="8" t="s">
        <v>2327</v>
      </c>
      <c r="G54" s="8" t="s">
        <v>62</v>
      </c>
      <c r="H54" s="8" t="s">
        <v>209</v>
      </c>
      <c r="I54" s="8" t="s">
        <v>210</v>
      </c>
      <c r="J54" s="8" t="s">
        <v>8</v>
      </c>
      <c r="K54" s="8" t="s">
        <v>2328</v>
      </c>
      <c r="L54" s="283" t="s">
        <v>2329</v>
      </c>
      <c r="M54" s="8" t="s">
        <v>10</v>
      </c>
      <c r="N54" s="8" t="s">
        <v>2330</v>
      </c>
      <c r="O54" s="281" t="s">
        <v>2303</v>
      </c>
      <c r="P54" s="8" t="s">
        <v>2331</v>
      </c>
      <c r="Q54" s="132"/>
      <c r="R54" s="38"/>
      <c r="S54" s="8"/>
      <c r="T54" s="8"/>
      <c r="U54" s="8"/>
      <c r="V54" s="8"/>
      <c r="W54" s="8"/>
      <c r="X54" s="8"/>
      <c r="Y54" s="8"/>
      <c r="Z54" s="8"/>
      <c r="AA54" s="8"/>
    </row>
    <row r="55" spans="1:27" ht="94.5">
      <c r="A55" s="8" t="s">
        <v>53</v>
      </c>
      <c r="B55" s="29" t="s">
        <v>195</v>
      </c>
      <c r="C55" s="8" t="s">
        <v>196</v>
      </c>
      <c r="D55" s="8" t="s">
        <v>211</v>
      </c>
      <c r="E55" s="69" t="s">
        <v>212</v>
      </c>
      <c r="F55" s="8" t="s">
        <v>2251</v>
      </c>
      <c r="G55" s="8" t="s">
        <v>62</v>
      </c>
      <c r="H55" s="8" t="s">
        <v>213</v>
      </c>
      <c r="I55" s="8" t="s">
        <v>214</v>
      </c>
      <c r="J55" s="8" t="s">
        <v>8</v>
      </c>
      <c r="K55" s="8" t="s">
        <v>2332</v>
      </c>
      <c r="L55" s="283" t="s">
        <v>2273</v>
      </c>
      <c r="M55" s="8" t="s">
        <v>10</v>
      </c>
      <c r="N55" s="8" t="s">
        <v>2333</v>
      </c>
      <c r="O55" s="281" t="s">
        <v>2303</v>
      </c>
      <c r="P55" s="8" t="s">
        <v>2334</v>
      </c>
      <c r="Q55" s="132"/>
      <c r="R55" s="38"/>
      <c r="S55" s="8"/>
      <c r="T55" s="8"/>
      <c r="U55" s="8"/>
      <c r="V55" s="8"/>
      <c r="W55" s="8"/>
      <c r="X55" s="8"/>
      <c r="Y55" s="8"/>
      <c r="Z55" s="8"/>
      <c r="AA55" s="8"/>
    </row>
    <row r="56" spans="1:27" ht="110.25">
      <c r="A56" s="8" t="s">
        <v>53</v>
      </c>
      <c r="B56" s="29" t="s">
        <v>195</v>
      </c>
      <c r="C56" s="8" t="s">
        <v>196</v>
      </c>
      <c r="D56" s="8" t="s">
        <v>215</v>
      </c>
      <c r="E56" s="8" t="s">
        <v>216</v>
      </c>
      <c r="F56" s="8" t="s">
        <v>2259</v>
      </c>
      <c r="G56" s="8" t="s">
        <v>62</v>
      </c>
      <c r="H56" s="8" t="s">
        <v>217</v>
      </c>
      <c r="I56" s="8" t="s">
        <v>214</v>
      </c>
      <c r="J56" s="8" t="s">
        <v>8</v>
      </c>
      <c r="K56" s="8" t="s">
        <v>2335</v>
      </c>
      <c r="L56" s="283" t="s">
        <v>2273</v>
      </c>
      <c r="M56" s="8" t="s">
        <v>10</v>
      </c>
      <c r="N56" s="8" t="s">
        <v>2336</v>
      </c>
      <c r="O56" s="281" t="s">
        <v>2303</v>
      </c>
      <c r="P56" s="8" t="s">
        <v>2337</v>
      </c>
      <c r="Q56" s="132"/>
      <c r="R56" s="38"/>
      <c r="S56" s="8"/>
      <c r="T56" s="8"/>
      <c r="U56" s="8"/>
      <c r="V56" s="8"/>
      <c r="W56" s="8"/>
      <c r="X56" s="8"/>
      <c r="Y56" s="8"/>
      <c r="Z56" s="8"/>
      <c r="AA56" s="8"/>
    </row>
    <row r="57" spans="1:27" ht="110.25">
      <c r="A57" s="8" t="s">
        <v>53</v>
      </c>
      <c r="B57" s="29" t="s">
        <v>195</v>
      </c>
      <c r="C57" s="8" t="s">
        <v>196</v>
      </c>
      <c r="D57" s="8" t="s">
        <v>218</v>
      </c>
      <c r="E57" s="8" t="s">
        <v>219</v>
      </c>
      <c r="F57" s="8" t="s">
        <v>2253</v>
      </c>
      <c r="G57" s="8" t="s">
        <v>62</v>
      </c>
      <c r="H57" s="8" t="s">
        <v>220</v>
      </c>
      <c r="I57" s="8" t="s">
        <v>221</v>
      </c>
      <c r="J57" s="8" t="s">
        <v>8</v>
      </c>
      <c r="K57" s="8" t="s">
        <v>2338</v>
      </c>
      <c r="L57" s="283" t="s">
        <v>2273</v>
      </c>
      <c r="M57" s="8" t="s">
        <v>11</v>
      </c>
      <c r="N57" s="8" t="s">
        <v>2339</v>
      </c>
      <c r="O57" s="281"/>
      <c r="P57" s="8" t="s">
        <v>2340</v>
      </c>
      <c r="Q57" s="132"/>
      <c r="R57" s="38"/>
      <c r="S57" s="8"/>
      <c r="T57" s="8"/>
      <c r="U57" s="8"/>
      <c r="V57" s="8"/>
      <c r="W57" s="8"/>
      <c r="X57" s="8"/>
      <c r="Y57" s="8"/>
      <c r="Z57" s="8"/>
      <c r="AA57" s="8"/>
    </row>
    <row r="58" spans="1:27" ht="63">
      <c r="A58" s="8" t="s">
        <v>53</v>
      </c>
      <c r="B58" s="29" t="s">
        <v>195</v>
      </c>
      <c r="C58" s="8" t="s">
        <v>222</v>
      </c>
      <c r="D58" s="8" t="s">
        <v>223</v>
      </c>
      <c r="E58" s="8" t="s">
        <v>224</v>
      </c>
      <c r="F58" s="20"/>
      <c r="G58" s="20" t="s">
        <v>62</v>
      </c>
      <c r="H58" s="20" t="s">
        <v>225</v>
      </c>
      <c r="I58" s="22" t="s">
        <v>226</v>
      </c>
      <c r="J58" s="22"/>
      <c r="K58" s="20"/>
      <c r="L58" s="278"/>
      <c r="M58" s="22"/>
      <c r="N58" s="22"/>
      <c r="O58" s="279"/>
      <c r="P58" s="20"/>
      <c r="Q58" s="282"/>
      <c r="R58" s="61"/>
      <c r="S58" s="22"/>
      <c r="T58" s="22"/>
      <c r="U58" s="22"/>
      <c r="V58" s="22"/>
      <c r="W58" s="22"/>
      <c r="X58" s="22"/>
      <c r="Y58" s="22"/>
      <c r="Z58" s="22"/>
      <c r="AA58" s="20"/>
    </row>
    <row r="59" spans="1:27" ht="110.25">
      <c r="A59" s="8" t="s">
        <v>53</v>
      </c>
      <c r="B59" s="29" t="s">
        <v>195</v>
      </c>
      <c r="C59" s="8" t="s">
        <v>222</v>
      </c>
      <c r="D59" s="8" t="s">
        <v>227</v>
      </c>
      <c r="E59" s="69" t="s">
        <v>228</v>
      </c>
      <c r="F59" s="8" t="s">
        <v>2253</v>
      </c>
      <c r="G59" s="8" t="s">
        <v>62</v>
      </c>
      <c r="H59" s="8" t="s">
        <v>229</v>
      </c>
      <c r="I59" s="8" t="s">
        <v>226</v>
      </c>
      <c r="J59" s="8" t="s">
        <v>1191</v>
      </c>
      <c r="K59" s="8" t="s">
        <v>2341</v>
      </c>
      <c r="L59" s="283" t="s">
        <v>1380</v>
      </c>
      <c r="M59" s="8" t="s">
        <v>11</v>
      </c>
      <c r="N59" s="8" t="s">
        <v>2342</v>
      </c>
      <c r="O59" s="281" t="s">
        <v>2303</v>
      </c>
      <c r="P59" s="8" t="s">
        <v>2343</v>
      </c>
      <c r="Q59" s="132"/>
      <c r="R59" s="38"/>
      <c r="S59" s="8"/>
      <c r="T59" s="8"/>
      <c r="U59" s="8"/>
      <c r="V59" s="8"/>
      <c r="W59" s="8"/>
      <c r="X59" s="8"/>
      <c r="Y59" s="8"/>
      <c r="Z59" s="8"/>
      <c r="AA59" s="8"/>
    </row>
    <row r="60" spans="1:27" ht="79.5" customHeight="1">
      <c r="A60" s="8" t="s">
        <v>53</v>
      </c>
      <c r="B60" s="29" t="s">
        <v>195</v>
      </c>
      <c r="C60" s="8" t="s">
        <v>222</v>
      </c>
      <c r="D60" s="8" t="s">
        <v>230</v>
      </c>
      <c r="E60" s="69" t="s">
        <v>231</v>
      </c>
      <c r="F60" s="8" t="s">
        <v>2259</v>
      </c>
      <c r="G60" s="8" t="s">
        <v>62</v>
      </c>
      <c r="H60" s="8" t="s">
        <v>232</v>
      </c>
      <c r="I60" s="8" t="s">
        <v>226</v>
      </c>
      <c r="J60" s="8" t="s">
        <v>1191</v>
      </c>
      <c r="K60" s="8" t="s">
        <v>2344</v>
      </c>
      <c r="L60" s="283" t="s">
        <v>1380</v>
      </c>
      <c r="M60" s="8" t="s">
        <v>10</v>
      </c>
      <c r="N60" s="8" t="s">
        <v>2345</v>
      </c>
      <c r="O60" s="281" t="s">
        <v>2303</v>
      </c>
      <c r="P60" s="8" t="s">
        <v>2346</v>
      </c>
      <c r="Q60" s="132"/>
      <c r="R60" s="38"/>
      <c r="S60" s="8"/>
      <c r="T60" s="8"/>
      <c r="U60" s="8"/>
      <c r="V60" s="8"/>
      <c r="W60" s="8"/>
      <c r="X60" s="8"/>
      <c r="Y60" s="8"/>
      <c r="Z60" s="8"/>
      <c r="AA60" s="8"/>
    </row>
    <row r="61" spans="1:27" ht="94.5">
      <c r="A61" s="8" t="s">
        <v>53</v>
      </c>
      <c r="B61" s="29" t="s">
        <v>195</v>
      </c>
      <c r="C61" s="8" t="s">
        <v>222</v>
      </c>
      <c r="D61" s="8" t="s">
        <v>233</v>
      </c>
      <c r="E61" s="69" t="s">
        <v>234</v>
      </c>
      <c r="F61" s="8" t="s">
        <v>2297</v>
      </c>
      <c r="G61" s="8" t="s">
        <v>62</v>
      </c>
      <c r="H61" s="8" t="s">
        <v>235</v>
      </c>
      <c r="I61" s="8" t="s">
        <v>226</v>
      </c>
      <c r="J61" s="8" t="s">
        <v>8</v>
      </c>
      <c r="K61" s="8" t="s">
        <v>2341</v>
      </c>
      <c r="L61" s="283" t="s">
        <v>2265</v>
      </c>
      <c r="M61" s="8" t="s">
        <v>10</v>
      </c>
      <c r="N61" s="8" t="s">
        <v>2258</v>
      </c>
      <c r="O61" s="281" t="s">
        <v>2303</v>
      </c>
      <c r="P61" s="8" t="s">
        <v>2347</v>
      </c>
      <c r="Q61" s="132"/>
      <c r="R61" s="38"/>
      <c r="S61" s="8"/>
      <c r="T61" s="8"/>
      <c r="U61" s="8"/>
      <c r="V61" s="8"/>
      <c r="W61" s="8"/>
      <c r="X61" s="8"/>
      <c r="Y61" s="8"/>
      <c r="Z61" s="8"/>
      <c r="AA61" s="8"/>
    </row>
    <row r="62" spans="1:27" ht="110.25">
      <c r="A62" s="8" t="s">
        <v>53</v>
      </c>
      <c r="B62" s="29" t="s">
        <v>195</v>
      </c>
      <c r="C62" s="8" t="s">
        <v>222</v>
      </c>
      <c r="D62" s="8" t="s">
        <v>236</v>
      </c>
      <c r="E62" s="69" t="s">
        <v>237</v>
      </c>
      <c r="F62" s="8" t="s">
        <v>2259</v>
      </c>
      <c r="G62" s="8" t="s">
        <v>62</v>
      </c>
      <c r="H62" s="8" t="s">
        <v>238</v>
      </c>
      <c r="I62" s="8" t="s">
        <v>226</v>
      </c>
      <c r="J62" s="8" t="s">
        <v>8</v>
      </c>
      <c r="K62" s="8" t="s">
        <v>2341</v>
      </c>
      <c r="L62" s="283" t="s">
        <v>2348</v>
      </c>
      <c r="M62" s="8" t="s">
        <v>10</v>
      </c>
      <c r="N62" s="8" t="s">
        <v>2258</v>
      </c>
      <c r="O62" s="281" t="s">
        <v>2303</v>
      </c>
      <c r="P62" s="8" t="s">
        <v>2347</v>
      </c>
      <c r="Q62" s="132"/>
      <c r="R62" s="38"/>
      <c r="S62" s="8"/>
      <c r="T62" s="8"/>
      <c r="U62" s="8"/>
      <c r="V62" s="8"/>
      <c r="W62" s="8"/>
      <c r="X62" s="8"/>
      <c r="Y62" s="8"/>
      <c r="Z62" s="8"/>
      <c r="AA62" s="8"/>
    </row>
    <row r="63" spans="1:27" ht="141.75">
      <c r="A63" s="8" t="s">
        <v>53</v>
      </c>
      <c r="B63" s="29" t="s">
        <v>195</v>
      </c>
      <c r="C63" s="8" t="s">
        <v>222</v>
      </c>
      <c r="D63" s="8" t="s">
        <v>239</v>
      </c>
      <c r="E63" s="69" t="s">
        <v>240</v>
      </c>
      <c r="F63" s="8" t="s">
        <v>2259</v>
      </c>
      <c r="G63" s="8" t="s">
        <v>62</v>
      </c>
      <c r="H63" s="8" t="s">
        <v>241</v>
      </c>
      <c r="I63" s="8" t="s">
        <v>226</v>
      </c>
      <c r="J63" s="8" t="s">
        <v>8</v>
      </c>
      <c r="K63" s="8" t="s">
        <v>2341</v>
      </c>
      <c r="L63" s="283" t="s">
        <v>2329</v>
      </c>
      <c r="M63" s="8" t="s">
        <v>10</v>
      </c>
      <c r="N63" s="8" t="s">
        <v>2258</v>
      </c>
      <c r="O63" s="281" t="s">
        <v>2303</v>
      </c>
      <c r="P63" s="8" t="s">
        <v>2349</v>
      </c>
      <c r="Q63" s="132"/>
      <c r="R63" s="38"/>
      <c r="S63" s="8"/>
      <c r="T63" s="8"/>
      <c r="U63" s="8"/>
      <c r="V63" s="8"/>
      <c r="W63" s="8"/>
      <c r="X63" s="8"/>
      <c r="Y63" s="8"/>
      <c r="Z63" s="8"/>
      <c r="AA63" s="8"/>
    </row>
    <row r="64" spans="1:27" ht="110.25">
      <c r="A64" s="8" t="s">
        <v>53</v>
      </c>
      <c r="B64" s="29" t="s">
        <v>195</v>
      </c>
      <c r="C64" s="8" t="s">
        <v>222</v>
      </c>
      <c r="D64" s="8" t="s">
        <v>242</v>
      </c>
      <c r="E64" s="69" t="s">
        <v>243</v>
      </c>
      <c r="F64" s="8" t="s">
        <v>2259</v>
      </c>
      <c r="G64" s="8" t="s">
        <v>62</v>
      </c>
      <c r="H64" s="8" t="s">
        <v>244</v>
      </c>
      <c r="I64" s="8" t="s">
        <v>226</v>
      </c>
      <c r="J64" s="8" t="s">
        <v>8</v>
      </c>
      <c r="K64" s="8" t="s">
        <v>2341</v>
      </c>
      <c r="L64" s="283" t="s">
        <v>2350</v>
      </c>
      <c r="M64" s="8" t="s">
        <v>10</v>
      </c>
      <c r="N64" s="8" t="s">
        <v>2258</v>
      </c>
      <c r="O64" s="281" t="s">
        <v>2303</v>
      </c>
      <c r="P64" s="8" t="s">
        <v>2258</v>
      </c>
      <c r="Q64" s="132"/>
      <c r="R64" s="38"/>
      <c r="S64" s="8"/>
      <c r="T64" s="8"/>
      <c r="U64" s="8"/>
      <c r="V64" s="8"/>
      <c r="W64" s="8"/>
      <c r="X64" s="8"/>
      <c r="Y64" s="8"/>
      <c r="Z64" s="8"/>
      <c r="AA64" s="8"/>
    </row>
    <row r="65" spans="1:27" ht="110.25">
      <c r="A65" s="8" t="s">
        <v>53</v>
      </c>
      <c r="B65" s="29" t="s">
        <v>195</v>
      </c>
      <c r="C65" s="8" t="s">
        <v>222</v>
      </c>
      <c r="D65" s="8" t="s">
        <v>245</v>
      </c>
      <c r="E65" s="69" t="s">
        <v>246</v>
      </c>
      <c r="F65" s="8" t="s">
        <v>2259</v>
      </c>
      <c r="G65" s="8" t="s">
        <v>62</v>
      </c>
      <c r="H65" s="8" t="s">
        <v>247</v>
      </c>
      <c r="I65" s="8" t="s">
        <v>226</v>
      </c>
      <c r="J65" s="8" t="s">
        <v>8</v>
      </c>
      <c r="K65" s="8" t="s">
        <v>2341</v>
      </c>
      <c r="L65" s="283" t="s">
        <v>2329</v>
      </c>
      <c r="M65" s="8" t="s">
        <v>10</v>
      </c>
      <c r="N65" s="8" t="s">
        <v>2274</v>
      </c>
      <c r="O65" s="281" t="s">
        <v>2303</v>
      </c>
      <c r="P65" s="8" t="s">
        <v>2258</v>
      </c>
      <c r="Q65" s="132"/>
      <c r="R65" s="38"/>
      <c r="S65" s="8"/>
      <c r="T65" s="8"/>
      <c r="U65" s="8"/>
      <c r="V65" s="8"/>
      <c r="W65" s="8"/>
      <c r="X65" s="8"/>
      <c r="Y65" s="8"/>
      <c r="Z65" s="8"/>
      <c r="AA65" s="8"/>
    </row>
    <row r="66" spans="1:27" ht="110.25">
      <c r="A66" s="8" t="s">
        <v>53</v>
      </c>
      <c r="B66" s="29" t="s">
        <v>195</v>
      </c>
      <c r="C66" s="8" t="s">
        <v>222</v>
      </c>
      <c r="D66" s="8" t="s">
        <v>248</v>
      </c>
      <c r="E66" s="69" t="s">
        <v>249</v>
      </c>
      <c r="F66" s="8" t="s">
        <v>2259</v>
      </c>
      <c r="G66" s="8" t="s">
        <v>62</v>
      </c>
      <c r="H66" s="8" t="s">
        <v>250</v>
      </c>
      <c r="I66" s="8" t="s">
        <v>226</v>
      </c>
      <c r="J66" s="8" t="s">
        <v>8</v>
      </c>
      <c r="K66" s="8" t="s">
        <v>2341</v>
      </c>
      <c r="L66" s="283" t="s">
        <v>2351</v>
      </c>
      <c r="M66" s="8" t="s">
        <v>10</v>
      </c>
      <c r="N66" s="8" t="s">
        <v>2258</v>
      </c>
      <c r="O66" s="281" t="s">
        <v>2303</v>
      </c>
      <c r="P66" s="8" t="s">
        <v>2258</v>
      </c>
      <c r="Q66" s="132"/>
      <c r="R66" s="38"/>
      <c r="S66" s="8"/>
      <c r="T66" s="8"/>
      <c r="U66" s="8"/>
      <c r="V66" s="8"/>
      <c r="W66" s="8"/>
      <c r="X66" s="8"/>
      <c r="Y66" s="8"/>
      <c r="Z66" s="8"/>
      <c r="AA66" s="8"/>
    </row>
    <row r="67" spans="1:27" ht="82.5" customHeight="1">
      <c r="A67" s="8" t="s">
        <v>53</v>
      </c>
      <c r="B67" s="29" t="s">
        <v>195</v>
      </c>
      <c r="C67" s="8" t="s">
        <v>251</v>
      </c>
      <c r="D67" s="8" t="s">
        <v>252</v>
      </c>
      <c r="E67" s="8" t="s">
        <v>253</v>
      </c>
      <c r="F67" s="8" t="s">
        <v>2259</v>
      </c>
      <c r="G67" s="8" t="s">
        <v>62</v>
      </c>
      <c r="H67" s="8" t="s">
        <v>254</v>
      </c>
      <c r="I67" s="8" t="s">
        <v>255</v>
      </c>
      <c r="J67" s="8" t="s">
        <v>8</v>
      </c>
      <c r="K67" s="8" t="s">
        <v>2352</v>
      </c>
      <c r="L67" s="283" t="s">
        <v>2329</v>
      </c>
      <c r="M67" s="8" t="s">
        <v>10</v>
      </c>
      <c r="N67" s="8" t="s">
        <v>2353</v>
      </c>
      <c r="O67" s="281">
        <v>9600</v>
      </c>
      <c r="P67" s="8"/>
      <c r="Q67" s="132"/>
      <c r="R67" s="38"/>
      <c r="S67" s="8"/>
      <c r="T67" s="8"/>
      <c r="U67" s="8"/>
      <c r="V67" s="8"/>
      <c r="W67" s="8"/>
      <c r="X67" s="8"/>
      <c r="Y67" s="8"/>
      <c r="Z67" s="8"/>
      <c r="AA67" s="8"/>
    </row>
    <row r="68" spans="1:27" ht="110.25">
      <c r="A68" s="8" t="s">
        <v>53</v>
      </c>
      <c r="B68" s="29" t="s">
        <v>195</v>
      </c>
      <c r="C68" s="8" t="s">
        <v>256</v>
      </c>
      <c r="D68" s="8" t="s">
        <v>257</v>
      </c>
      <c r="E68" s="8" t="s">
        <v>258</v>
      </c>
      <c r="F68" s="8" t="s">
        <v>2259</v>
      </c>
      <c r="G68" s="8" t="s">
        <v>62</v>
      </c>
      <c r="H68" s="8" t="s">
        <v>259</v>
      </c>
      <c r="I68" s="8" t="s">
        <v>260</v>
      </c>
      <c r="J68" s="8" t="s">
        <v>8</v>
      </c>
      <c r="K68" s="8" t="s">
        <v>2354</v>
      </c>
      <c r="L68" s="283" t="s">
        <v>2355</v>
      </c>
      <c r="M68" s="8" t="s">
        <v>11</v>
      </c>
      <c r="N68" s="8" t="s">
        <v>2356</v>
      </c>
      <c r="O68" s="281" t="s">
        <v>2303</v>
      </c>
      <c r="P68" s="8" t="s">
        <v>2357</v>
      </c>
      <c r="Q68" s="132"/>
      <c r="R68" s="38"/>
      <c r="S68" s="8"/>
      <c r="T68" s="8"/>
      <c r="U68" s="8"/>
      <c r="V68" s="8"/>
      <c r="W68" s="8"/>
      <c r="X68" s="8"/>
      <c r="Y68" s="8"/>
      <c r="Z68" s="8"/>
      <c r="AA68" s="8"/>
    </row>
    <row r="69" spans="1:27" ht="110.25">
      <c r="A69" s="8" t="s">
        <v>53</v>
      </c>
      <c r="B69" s="29" t="s">
        <v>195</v>
      </c>
      <c r="C69" s="8" t="s">
        <v>256</v>
      </c>
      <c r="D69" s="8" t="s">
        <v>261</v>
      </c>
      <c r="E69" s="8" t="s">
        <v>262</v>
      </c>
      <c r="F69" s="8" t="s">
        <v>2259</v>
      </c>
      <c r="G69" s="8" t="s">
        <v>62</v>
      </c>
      <c r="H69" s="8" t="s">
        <v>263</v>
      </c>
      <c r="I69" s="8" t="s">
        <v>260</v>
      </c>
      <c r="J69" s="8" t="s">
        <v>8</v>
      </c>
      <c r="K69" s="8" t="s">
        <v>2354</v>
      </c>
      <c r="L69" s="283" t="s">
        <v>2355</v>
      </c>
      <c r="M69" s="8" t="s">
        <v>10</v>
      </c>
      <c r="N69" s="8" t="s">
        <v>2358</v>
      </c>
      <c r="O69" s="281" t="s">
        <v>2303</v>
      </c>
      <c r="P69" s="8" t="s">
        <v>2258</v>
      </c>
      <c r="Q69" s="132"/>
      <c r="R69" s="38"/>
      <c r="S69" s="8"/>
      <c r="T69" s="8"/>
      <c r="U69" s="8"/>
      <c r="V69" s="8"/>
      <c r="W69" s="8"/>
      <c r="X69" s="8"/>
      <c r="Y69" s="8"/>
      <c r="Z69" s="8"/>
      <c r="AA69" s="8"/>
    </row>
    <row r="70" spans="1:27" ht="110.25">
      <c r="A70" s="8" t="s">
        <v>53</v>
      </c>
      <c r="B70" s="29" t="s">
        <v>195</v>
      </c>
      <c r="C70" s="8" t="s">
        <v>256</v>
      </c>
      <c r="D70" s="8" t="s">
        <v>264</v>
      </c>
      <c r="E70" s="8" t="s">
        <v>265</v>
      </c>
      <c r="F70" s="8" t="s">
        <v>2259</v>
      </c>
      <c r="G70" s="8" t="s">
        <v>62</v>
      </c>
      <c r="H70" s="8" t="s">
        <v>266</v>
      </c>
      <c r="I70" s="8" t="s">
        <v>260</v>
      </c>
      <c r="J70" s="8" t="s">
        <v>8</v>
      </c>
      <c r="K70" s="8" t="s">
        <v>2354</v>
      </c>
      <c r="L70" s="283" t="s">
        <v>2355</v>
      </c>
      <c r="M70" s="8" t="s">
        <v>10</v>
      </c>
      <c r="N70" s="8" t="s">
        <v>2359</v>
      </c>
      <c r="O70" s="281" t="s">
        <v>2303</v>
      </c>
      <c r="P70" s="8" t="s">
        <v>2274</v>
      </c>
      <c r="Q70" s="132"/>
      <c r="R70" s="38"/>
      <c r="S70" s="8"/>
      <c r="T70" s="8"/>
      <c r="U70" s="8"/>
      <c r="V70" s="8"/>
      <c r="W70" s="8"/>
      <c r="X70" s="8"/>
      <c r="Y70" s="8"/>
      <c r="Z70" s="8"/>
      <c r="AA70" s="8"/>
    </row>
    <row r="71" spans="1:27" ht="110.25">
      <c r="A71" s="8" t="s">
        <v>53</v>
      </c>
      <c r="B71" s="29" t="s">
        <v>195</v>
      </c>
      <c r="C71" s="8" t="s">
        <v>256</v>
      </c>
      <c r="D71" s="8" t="s">
        <v>267</v>
      </c>
      <c r="E71" s="8" t="s">
        <v>268</v>
      </c>
      <c r="F71" s="8" t="s">
        <v>2253</v>
      </c>
      <c r="G71" s="8" t="s">
        <v>62</v>
      </c>
      <c r="H71" s="8" t="s">
        <v>269</v>
      </c>
      <c r="I71" s="8" t="s">
        <v>270</v>
      </c>
      <c r="J71" s="8" t="s">
        <v>8</v>
      </c>
      <c r="K71" s="8" t="s">
        <v>2338</v>
      </c>
      <c r="L71" s="283" t="s">
        <v>2273</v>
      </c>
      <c r="M71" s="8" t="s">
        <v>11</v>
      </c>
      <c r="N71" s="8" t="s">
        <v>2339</v>
      </c>
      <c r="O71" s="281"/>
      <c r="P71" s="8" t="s">
        <v>2340</v>
      </c>
      <c r="Q71" s="132"/>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283"/>
      <c r="M72" s="8"/>
      <c r="N72" s="8"/>
      <c r="O72" s="281"/>
      <c r="P72" s="8"/>
      <c r="Q72" s="132"/>
      <c r="R72" s="38"/>
      <c r="S72" s="8"/>
      <c r="T72" s="8"/>
      <c r="U72" s="8"/>
      <c r="V72" s="8"/>
      <c r="W72" s="8"/>
      <c r="X72" s="8"/>
      <c r="Y72" s="8"/>
      <c r="Z72" s="8"/>
      <c r="AA72" s="8"/>
    </row>
    <row r="73" spans="1:27" ht="63">
      <c r="A73" s="8" t="s">
        <v>53</v>
      </c>
      <c r="B73" s="29" t="s">
        <v>274</v>
      </c>
      <c r="C73" s="8" t="s">
        <v>275</v>
      </c>
      <c r="D73" s="8" t="s">
        <v>276</v>
      </c>
      <c r="E73" s="8" t="s">
        <v>277</v>
      </c>
      <c r="F73" s="20"/>
      <c r="G73" s="20" t="s">
        <v>62</v>
      </c>
      <c r="H73" s="20"/>
      <c r="I73" s="20"/>
      <c r="J73" s="20"/>
      <c r="K73" s="20"/>
      <c r="L73" s="278"/>
      <c r="M73" s="20"/>
      <c r="N73" s="20"/>
      <c r="O73" s="279"/>
      <c r="P73" s="20"/>
      <c r="Q73" s="132"/>
      <c r="R73" s="39"/>
      <c r="S73" s="20"/>
      <c r="T73" s="20"/>
      <c r="U73" s="20"/>
      <c r="V73" s="20"/>
      <c r="W73" s="20"/>
      <c r="X73" s="20"/>
      <c r="Y73" s="20"/>
      <c r="Z73" s="20"/>
      <c r="AA73" s="20"/>
    </row>
    <row r="74" spans="1:27" ht="157.5">
      <c r="A74" s="8"/>
      <c r="B74" s="29" t="s">
        <v>274</v>
      </c>
      <c r="C74" s="8" t="s">
        <v>275</v>
      </c>
      <c r="D74" s="8" t="s">
        <v>278</v>
      </c>
      <c r="E74" s="69" t="s">
        <v>279</v>
      </c>
      <c r="F74" s="8" t="s">
        <v>2259</v>
      </c>
      <c r="G74" s="8" t="s">
        <v>62</v>
      </c>
      <c r="H74" s="8" t="s">
        <v>280</v>
      </c>
      <c r="I74" s="292">
        <v>1</v>
      </c>
      <c r="J74" s="8" t="s">
        <v>8</v>
      </c>
      <c r="K74" s="8" t="s">
        <v>2360</v>
      </c>
      <c r="L74" s="283" t="s">
        <v>2265</v>
      </c>
      <c r="M74" s="8" t="s">
        <v>11</v>
      </c>
      <c r="N74" s="8" t="s">
        <v>2361</v>
      </c>
      <c r="O74" s="281">
        <v>5000</v>
      </c>
      <c r="P74" s="8" t="s">
        <v>2357</v>
      </c>
      <c r="Q74" s="132"/>
      <c r="R74" s="38"/>
      <c r="S74" s="8"/>
      <c r="T74" s="8"/>
      <c r="U74" s="8"/>
      <c r="V74" s="8"/>
      <c r="W74" s="8"/>
      <c r="X74" s="8"/>
      <c r="Y74" s="8"/>
      <c r="Z74" s="8"/>
      <c r="AA74" s="8"/>
    </row>
    <row r="75" spans="1:27" ht="110.25">
      <c r="A75" s="8" t="s">
        <v>53</v>
      </c>
      <c r="B75" s="29" t="s">
        <v>274</v>
      </c>
      <c r="C75" s="8" t="s">
        <v>275</v>
      </c>
      <c r="D75" s="8" t="s">
        <v>281</v>
      </c>
      <c r="E75" s="69" t="s">
        <v>279</v>
      </c>
      <c r="F75" s="8" t="s">
        <v>2259</v>
      </c>
      <c r="G75" s="8" t="s">
        <v>62</v>
      </c>
      <c r="H75" s="8" t="s">
        <v>282</v>
      </c>
      <c r="I75" s="292">
        <v>1</v>
      </c>
      <c r="J75" s="9" t="s">
        <v>8</v>
      </c>
      <c r="K75" s="9" t="s">
        <v>2360</v>
      </c>
      <c r="L75" s="283" t="s">
        <v>2329</v>
      </c>
      <c r="M75" s="9" t="s">
        <v>12</v>
      </c>
      <c r="N75" s="9" t="s">
        <v>2362</v>
      </c>
      <c r="O75" s="281">
        <v>50000</v>
      </c>
      <c r="P75" s="8" t="s">
        <v>2363</v>
      </c>
      <c r="Q75" s="282"/>
      <c r="R75" s="37"/>
      <c r="S75" s="9"/>
      <c r="T75" s="9"/>
      <c r="U75" s="9"/>
      <c r="V75" s="9"/>
      <c r="W75" s="9"/>
      <c r="X75" s="9"/>
      <c r="Y75" s="9"/>
      <c r="Z75" s="9"/>
      <c r="AA75" s="8"/>
    </row>
    <row r="76" spans="1:27" ht="110.25">
      <c r="A76" s="8" t="s">
        <v>53</v>
      </c>
      <c r="B76" s="29" t="s">
        <v>274</v>
      </c>
      <c r="C76" s="8" t="s">
        <v>275</v>
      </c>
      <c r="D76" s="8" t="s">
        <v>283</v>
      </c>
      <c r="E76" s="69" t="s">
        <v>284</v>
      </c>
      <c r="F76" s="8" t="s">
        <v>2259</v>
      </c>
      <c r="G76" s="8" t="s">
        <v>62</v>
      </c>
      <c r="H76" s="8" t="s">
        <v>285</v>
      </c>
      <c r="I76" s="292">
        <v>1</v>
      </c>
      <c r="J76" s="8" t="s">
        <v>8</v>
      </c>
      <c r="K76" s="8" t="s">
        <v>2364</v>
      </c>
      <c r="L76" s="283" t="s">
        <v>2273</v>
      </c>
      <c r="M76" s="8" t="s">
        <v>11</v>
      </c>
      <c r="N76" s="8" t="s">
        <v>2365</v>
      </c>
      <c r="O76" s="281"/>
      <c r="P76" s="8"/>
      <c r="Q76" s="132"/>
      <c r="R76" s="38"/>
      <c r="S76" s="8"/>
      <c r="T76" s="8"/>
      <c r="U76" s="8"/>
      <c r="V76" s="8"/>
      <c r="W76" s="8"/>
      <c r="X76" s="8"/>
      <c r="Y76" s="8"/>
      <c r="Z76" s="8"/>
      <c r="AA76" s="8"/>
    </row>
    <row r="77" spans="1:27" ht="110.25">
      <c r="A77" s="8"/>
      <c r="B77" s="29" t="s">
        <v>274</v>
      </c>
      <c r="C77" s="8" t="s">
        <v>275</v>
      </c>
      <c r="D77" s="8" t="s">
        <v>286</v>
      </c>
      <c r="E77" s="69" t="s">
        <v>284</v>
      </c>
      <c r="F77" s="8" t="s">
        <v>2259</v>
      </c>
      <c r="G77" s="8" t="s">
        <v>62</v>
      </c>
      <c r="H77" s="8" t="s">
        <v>287</v>
      </c>
      <c r="I77" s="292">
        <v>1</v>
      </c>
      <c r="J77" s="8" t="s">
        <v>8</v>
      </c>
      <c r="K77" s="8" t="s">
        <v>2366</v>
      </c>
      <c r="L77" s="283" t="s">
        <v>2273</v>
      </c>
      <c r="M77" s="8" t="s">
        <v>12</v>
      </c>
      <c r="N77" s="8" t="s">
        <v>2365</v>
      </c>
      <c r="O77" s="281"/>
      <c r="P77" s="8"/>
      <c r="Q77" s="132"/>
      <c r="R77" s="38"/>
      <c r="S77" s="8"/>
      <c r="T77" s="8"/>
      <c r="U77" s="8"/>
      <c r="V77" s="8"/>
      <c r="W77" s="8"/>
      <c r="X77" s="8"/>
      <c r="Y77" s="8"/>
      <c r="Z77" s="8"/>
      <c r="AA77" s="8"/>
    </row>
    <row r="78" spans="1:27" ht="141.75">
      <c r="A78" s="8" t="s">
        <v>53</v>
      </c>
      <c r="B78" s="29" t="s">
        <v>274</v>
      </c>
      <c r="C78" s="8" t="s">
        <v>275</v>
      </c>
      <c r="D78" s="8" t="s">
        <v>288</v>
      </c>
      <c r="E78" s="69" t="s">
        <v>289</v>
      </c>
      <c r="F78" s="8" t="s">
        <v>2259</v>
      </c>
      <c r="G78" s="8" t="s">
        <v>62</v>
      </c>
      <c r="H78" s="8" t="s">
        <v>290</v>
      </c>
      <c r="I78" s="292">
        <v>1</v>
      </c>
      <c r="J78" s="8" t="s">
        <v>8</v>
      </c>
      <c r="K78" s="8" t="s">
        <v>2367</v>
      </c>
      <c r="L78" s="283" t="s">
        <v>2265</v>
      </c>
      <c r="M78" s="8" t="s">
        <v>11</v>
      </c>
      <c r="N78" s="8" t="s">
        <v>2368</v>
      </c>
      <c r="O78" s="281">
        <v>5000</v>
      </c>
      <c r="P78" s="8" t="s">
        <v>2357</v>
      </c>
      <c r="Q78" s="132"/>
      <c r="R78" s="38"/>
      <c r="S78" s="8"/>
      <c r="T78" s="8"/>
      <c r="U78" s="8"/>
      <c r="V78" s="8"/>
      <c r="W78" s="8"/>
      <c r="X78" s="8"/>
      <c r="Y78" s="8"/>
      <c r="Z78" s="8"/>
      <c r="AA78" s="8"/>
    </row>
    <row r="79" spans="1:27" ht="110.25">
      <c r="A79" s="8" t="s">
        <v>53</v>
      </c>
      <c r="B79" s="29" t="s">
        <v>274</v>
      </c>
      <c r="C79" s="8" t="s">
        <v>275</v>
      </c>
      <c r="D79" s="8" t="s">
        <v>291</v>
      </c>
      <c r="E79" s="69" t="s">
        <v>289</v>
      </c>
      <c r="F79" s="8" t="s">
        <v>2259</v>
      </c>
      <c r="G79" s="8" t="s">
        <v>62</v>
      </c>
      <c r="H79" s="8" t="s">
        <v>292</v>
      </c>
      <c r="I79" s="292">
        <v>1</v>
      </c>
      <c r="J79" s="8" t="s">
        <v>8</v>
      </c>
      <c r="K79" s="8" t="s">
        <v>2367</v>
      </c>
      <c r="L79" s="283" t="s">
        <v>2329</v>
      </c>
      <c r="M79" s="8" t="s">
        <v>12</v>
      </c>
      <c r="N79" s="8" t="s">
        <v>2369</v>
      </c>
      <c r="O79" s="281">
        <v>25000</v>
      </c>
      <c r="P79" s="8" t="s">
        <v>2370</v>
      </c>
      <c r="Q79" s="132"/>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283"/>
      <c r="M80" s="8"/>
      <c r="N80" s="8"/>
      <c r="O80" s="281"/>
      <c r="P80" s="8"/>
      <c r="Q80" s="132"/>
      <c r="R80" s="38"/>
      <c r="S80" s="8"/>
      <c r="T80" s="8"/>
      <c r="U80" s="8"/>
      <c r="V80" s="8"/>
      <c r="W80" s="8"/>
      <c r="X80" s="8"/>
      <c r="Y80" s="8"/>
      <c r="Z80" s="8"/>
      <c r="AA80" s="8"/>
    </row>
    <row r="81" spans="1:27" ht="47.25">
      <c r="A81" s="8" t="s">
        <v>53</v>
      </c>
      <c r="B81" s="29" t="s">
        <v>274</v>
      </c>
      <c r="C81" s="8" t="s">
        <v>298</v>
      </c>
      <c r="D81" s="8" t="s">
        <v>299</v>
      </c>
      <c r="E81" s="8" t="s">
        <v>300</v>
      </c>
      <c r="F81" s="20"/>
      <c r="G81" s="20" t="s">
        <v>62</v>
      </c>
      <c r="H81" s="20"/>
      <c r="I81" s="20"/>
      <c r="J81" s="20"/>
      <c r="K81" s="20"/>
      <c r="L81" s="278"/>
      <c r="M81" s="20"/>
      <c r="N81" s="20"/>
      <c r="O81" s="279"/>
      <c r="P81" s="20"/>
      <c r="Q81" s="132"/>
      <c r="R81" s="39"/>
      <c r="S81" s="20"/>
      <c r="T81" s="20"/>
      <c r="U81" s="20"/>
      <c r="V81" s="20"/>
      <c r="W81" s="20"/>
      <c r="X81" s="20"/>
      <c r="Y81" s="20"/>
      <c r="Z81" s="20"/>
      <c r="AA81" s="20"/>
    </row>
    <row r="82" spans="1:27" ht="110.25">
      <c r="A82" s="8" t="s">
        <v>53</v>
      </c>
      <c r="B82" s="29" t="s">
        <v>274</v>
      </c>
      <c r="C82" s="8" t="s">
        <v>298</v>
      </c>
      <c r="D82" s="8" t="s">
        <v>301</v>
      </c>
      <c r="E82" s="69" t="s">
        <v>302</v>
      </c>
      <c r="F82" s="8" t="s">
        <v>2253</v>
      </c>
      <c r="G82" s="8" t="s">
        <v>62</v>
      </c>
      <c r="H82" s="8" t="s">
        <v>303</v>
      </c>
      <c r="I82" s="8" t="s">
        <v>210</v>
      </c>
      <c r="J82" s="8" t="s">
        <v>1191</v>
      </c>
      <c r="K82" s="8" t="s">
        <v>2371</v>
      </c>
      <c r="L82" s="283" t="s">
        <v>1380</v>
      </c>
      <c r="M82" s="8" t="s">
        <v>9</v>
      </c>
      <c r="N82" s="8" t="s">
        <v>2372</v>
      </c>
      <c r="O82" s="281">
        <v>3000</v>
      </c>
      <c r="P82" s="8" t="s">
        <v>2373</v>
      </c>
      <c r="Q82" s="132"/>
      <c r="R82" s="38"/>
      <c r="S82" s="8"/>
      <c r="T82" s="8"/>
      <c r="U82" s="8"/>
      <c r="V82" s="8"/>
      <c r="W82" s="8"/>
      <c r="X82" s="8"/>
      <c r="Y82" s="8"/>
      <c r="Z82" s="8"/>
      <c r="AA82" s="8"/>
    </row>
    <row r="83" spans="1:27" ht="110.25">
      <c r="A83" s="8" t="s">
        <v>53</v>
      </c>
      <c r="B83" s="29" t="s">
        <v>274</v>
      </c>
      <c r="C83" s="8" t="s">
        <v>298</v>
      </c>
      <c r="D83" s="8" t="s">
        <v>304</v>
      </c>
      <c r="E83" s="69" t="s">
        <v>305</v>
      </c>
      <c r="F83" s="8" t="s">
        <v>2253</v>
      </c>
      <c r="G83" s="8" t="s">
        <v>62</v>
      </c>
      <c r="H83" s="8" t="s">
        <v>306</v>
      </c>
      <c r="I83" s="8" t="s">
        <v>210</v>
      </c>
      <c r="J83" s="8" t="s">
        <v>1191</v>
      </c>
      <c r="K83" s="8" t="s">
        <v>2374</v>
      </c>
      <c r="L83" s="283" t="s">
        <v>2299</v>
      </c>
      <c r="M83" s="8" t="s">
        <v>12</v>
      </c>
      <c r="N83" s="8" t="s">
        <v>2375</v>
      </c>
      <c r="O83" s="281">
        <v>300000</v>
      </c>
      <c r="P83" s="8" t="s">
        <v>2376</v>
      </c>
      <c r="Q83" s="132"/>
      <c r="R83" s="38"/>
      <c r="S83" s="8"/>
      <c r="T83" s="8"/>
      <c r="U83" s="8"/>
      <c r="V83" s="8"/>
      <c r="W83" s="8"/>
      <c r="X83" s="8"/>
      <c r="Y83" s="8"/>
      <c r="Z83" s="8"/>
      <c r="AA83" s="8"/>
    </row>
    <row r="84" spans="1:27" ht="94.5">
      <c r="A84" s="8" t="s">
        <v>53</v>
      </c>
      <c r="B84" s="29" t="s">
        <v>274</v>
      </c>
      <c r="C84" s="8" t="s">
        <v>298</v>
      </c>
      <c r="D84" s="8" t="s">
        <v>307</v>
      </c>
      <c r="E84" s="69" t="s">
        <v>308</v>
      </c>
      <c r="F84" s="8" t="s">
        <v>2251</v>
      </c>
      <c r="G84" s="8" t="s">
        <v>62</v>
      </c>
      <c r="H84" s="8" t="s">
        <v>309</v>
      </c>
      <c r="I84" s="8" t="s">
        <v>210</v>
      </c>
      <c r="J84" s="8" t="s">
        <v>1191</v>
      </c>
      <c r="K84" s="8" t="s">
        <v>2377</v>
      </c>
      <c r="L84" s="283" t="s">
        <v>2273</v>
      </c>
      <c r="M84" s="8" t="s">
        <v>9</v>
      </c>
      <c r="N84" s="8" t="s">
        <v>2378</v>
      </c>
      <c r="O84" s="281"/>
      <c r="P84" s="8" t="s">
        <v>2379</v>
      </c>
      <c r="Q84" s="132"/>
      <c r="R84" s="38"/>
      <c r="S84" s="8"/>
      <c r="T84" s="8"/>
      <c r="U84" s="8"/>
      <c r="V84" s="8"/>
      <c r="W84" s="8"/>
      <c r="X84" s="8"/>
      <c r="Y84" s="8"/>
      <c r="Z84" s="8"/>
      <c r="AA84" s="8"/>
    </row>
    <row r="85" spans="1:27" ht="141.75">
      <c r="A85" s="78" t="s">
        <v>53</v>
      </c>
      <c r="B85" s="79" t="s">
        <v>274</v>
      </c>
      <c r="C85" s="78" t="s">
        <v>298</v>
      </c>
      <c r="D85" s="78" t="s">
        <v>310</v>
      </c>
      <c r="E85" s="80" t="s">
        <v>311</v>
      </c>
      <c r="F85" s="78" t="s">
        <v>2251</v>
      </c>
      <c r="G85" s="78" t="s">
        <v>62</v>
      </c>
      <c r="H85" s="78" t="s">
        <v>312</v>
      </c>
      <c r="I85" s="293">
        <v>1</v>
      </c>
      <c r="J85" s="78" t="s">
        <v>1191</v>
      </c>
      <c r="K85" s="78" t="s">
        <v>2380</v>
      </c>
      <c r="L85" s="294" t="s">
        <v>2265</v>
      </c>
      <c r="M85" s="78" t="s">
        <v>11</v>
      </c>
      <c r="N85" s="78" t="s">
        <v>2381</v>
      </c>
      <c r="O85" s="295" t="s">
        <v>2303</v>
      </c>
      <c r="P85" s="78" t="s">
        <v>2382</v>
      </c>
      <c r="Q85" s="132"/>
      <c r="R85" s="83"/>
      <c r="S85" s="78"/>
      <c r="T85" s="78"/>
      <c r="U85" s="78"/>
      <c r="V85" s="78"/>
      <c r="W85" s="78"/>
      <c r="X85" s="78"/>
      <c r="Y85" s="78"/>
      <c r="Z85" s="78"/>
      <c r="AA85" s="78"/>
    </row>
    <row r="86" spans="1:27" ht="110.25">
      <c r="A86" s="76" t="s">
        <v>53</v>
      </c>
      <c r="B86" s="77" t="s">
        <v>274</v>
      </c>
      <c r="C86" s="76" t="s">
        <v>298</v>
      </c>
      <c r="D86" s="76" t="s">
        <v>313</v>
      </c>
      <c r="E86" s="76" t="s">
        <v>314</v>
      </c>
      <c r="F86" s="76" t="s">
        <v>2253</v>
      </c>
      <c r="G86" s="76" t="s">
        <v>62</v>
      </c>
      <c r="H86" s="76" t="s">
        <v>315</v>
      </c>
      <c r="I86" s="76" t="s">
        <v>221</v>
      </c>
      <c r="J86" s="76" t="s">
        <v>8</v>
      </c>
      <c r="K86" s="76" t="s">
        <v>2383</v>
      </c>
      <c r="L86" s="296" t="s">
        <v>2273</v>
      </c>
      <c r="M86" s="76" t="s">
        <v>11</v>
      </c>
      <c r="N86" s="76" t="s">
        <v>2384</v>
      </c>
      <c r="O86" s="297" t="s">
        <v>2303</v>
      </c>
      <c r="P86" s="298" t="s">
        <v>2385</v>
      </c>
      <c r="Q86" s="26"/>
      <c r="R86" s="76"/>
      <c r="S86" s="90"/>
      <c r="T86" s="76"/>
      <c r="U86" s="76"/>
      <c r="V86" s="76"/>
      <c r="W86" s="76"/>
      <c r="X86" s="76"/>
      <c r="Y86" s="76"/>
      <c r="Z86" s="76"/>
      <c r="AA86" s="76"/>
    </row>
    <row r="87" spans="1:27" ht="126">
      <c r="A87" s="84" t="s">
        <v>53</v>
      </c>
      <c r="B87" s="85" t="s">
        <v>274</v>
      </c>
      <c r="C87" s="84" t="s">
        <v>298</v>
      </c>
      <c r="D87" s="84" t="s">
        <v>316</v>
      </c>
      <c r="E87" s="84" t="s">
        <v>317</v>
      </c>
      <c r="F87" s="84" t="s">
        <v>2259</v>
      </c>
      <c r="G87" s="84" t="s">
        <v>62</v>
      </c>
      <c r="H87" s="84" t="s">
        <v>318</v>
      </c>
      <c r="I87" s="86">
        <v>1</v>
      </c>
      <c r="J87" s="86" t="s">
        <v>8</v>
      </c>
      <c r="K87" s="86" t="s">
        <v>2386</v>
      </c>
      <c r="L87" s="299" t="s">
        <v>2387</v>
      </c>
      <c r="M87" s="86" t="s">
        <v>10</v>
      </c>
      <c r="N87" s="86" t="s">
        <v>2388</v>
      </c>
      <c r="O87" s="300" t="s">
        <v>2303</v>
      </c>
      <c r="P87" s="84" t="s">
        <v>2389</v>
      </c>
      <c r="Q87" s="282"/>
      <c r="R87" s="88"/>
      <c r="S87" s="86"/>
      <c r="T87" s="86"/>
      <c r="U87" s="86"/>
      <c r="V87" s="86"/>
      <c r="W87" s="86"/>
      <c r="X87" s="86"/>
      <c r="Y87" s="86"/>
      <c r="Z87" s="86"/>
      <c r="AA87" s="84"/>
    </row>
    <row r="88" spans="1:27" ht="63">
      <c r="A88" s="8" t="s">
        <v>53</v>
      </c>
      <c r="B88" s="29" t="s">
        <v>274</v>
      </c>
      <c r="C88" s="8" t="s">
        <v>319</v>
      </c>
      <c r="D88" s="8" t="s">
        <v>320</v>
      </c>
      <c r="E88" s="8" t="s">
        <v>321</v>
      </c>
      <c r="F88" s="20"/>
      <c r="G88" s="20" t="s">
        <v>62</v>
      </c>
      <c r="H88" s="20"/>
      <c r="I88" s="20"/>
      <c r="J88" s="20"/>
      <c r="K88" s="20"/>
      <c r="L88" s="278"/>
      <c r="M88" s="20"/>
      <c r="N88" s="20"/>
      <c r="O88" s="279"/>
      <c r="P88" s="20"/>
      <c r="Q88" s="132"/>
      <c r="R88" s="39"/>
      <c r="S88" s="20"/>
      <c r="T88" s="20"/>
      <c r="U88" s="20"/>
      <c r="V88" s="20"/>
      <c r="W88" s="20"/>
      <c r="X88" s="20"/>
      <c r="Y88" s="20"/>
      <c r="Z88" s="20"/>
      <c r="AA88" s="20"/>
    </row>
    <row r="89" spans="1:27" ht="157.5">
      <c r="A89" s="8" t="s">
        <v>53</v>
      </c>
      <c r="B89" s="29" t="s">
        <v>274</v>
      </c>
      <c r="C89" s="8" t="s">
        <v>319</v>
      </c>
      <c r="D89" s="8" t="s">
        <v>322</v>
      </c>
      <c r="E89" s="69" t="s">
        <v>323</v>
      </c>
      <c r="F89" s="8" t="s">
        <v>2251</v>
      </c>
      <c r="G89" s="8" t="s">
        <v>62</v>
      </c>
      <c r="H89" s="8" t="s">
        <v>324</v>
      </c>
      <c r="I89" s="8" t="s">
        <v>325</v>
      </c>
      <c r="J89" s="8" t="s">
        <v>8</v>
      </c>
      <c r="K89" s="8" t="s">
        <v>2390</v>
      </c>
      <c r="L89" s="283" t="s">
        <v>2273</v>
      </c>
      <c r="M89" s="8" t="s">
        <v>10</v>
      </c>
      <c r="N89" s="8" t="s">
        <v>2391</v>
      </c>
      <c r="O89" s="281" t="s">
        <v>2303</v>
      </c>
      <c r="P89" s="8" t="s">
        <v>2392</v>
      </c>
      <c r="Q89" s="132"/>
      <c r="R89" s="38"/>
      <c r="S89" s="8"/>
      <c r="T89" s="8"/>
      <c r="U89" s="8"/>
      <c r="V89" s="8"/>
      <c r="W89" s="8"/>
      <c r="X89" s="8"/>
      <c r="Y89" s="8"/>
      <c r="Z89" s="8"/>
      <c r="AA89" s="8"/>
    </row>
    <row r="90" spans="1:27" ht="126">
      <c r="A90" s="8" t="s">
        <v>53</v>
      </c>
      <c r="B90" s="29" t="s">
        <v>274</v>
      </c>
      <c r="C90" s="8" t="s">
        <v>319</v>
      </c>
      <c r="D90" s="8" t="s">
        <v>326</v>
      </c>
      <c r="E90" s="69" t="s">
        <v>327</v>
      </c>
      <c r="F90" s="8" t="s">
        <v>2259</v>
      </c>
      <c r="G90" s="8" t="s">
        <v>62</v>
      </c>
      <c r="H90" s="8" t="s">
        <v>328</v>
      </c>
      <c r="I90" s="9">
        <v>1</v>
      </c>
      <c r="J90" s="8" t="s">
        <v>8</v>
      </c>
      <c r="K90" s="8" t="s">
        <v>2393</v>
      </c>
      <c r="L90" s="283" t="s">
        <v>2265</v>
      </c>
      <c r="M90" s="8" t="s">
        <v>10</v>
      </c>
      <c r="N90" s="8" t="s">
        <v>2394</v>
      </c>
      <c r="O90" s="281" t="s">
        <v>2303</v>
      </c>
      <c r="P90" s="8" t="s">
        <v>2395</v>
      </c>
      <c r="Q90" s="132"/>
      <c r="R90" s="38"/>
      <c r="S90" s="8"/>
      <c r="T90" s="8"/>
      <c r="U90" s="8"/>
      <c r="V90" s="8"/>
      <c r="W90" s="8"/>
      <c r="X90" s="8"/>
      <c r="Y90" s="8"/>
      <c r="Z90" s="8"/>
      <c r="AA90" s="8"/>
    </row>
    <row r="91" spans="1:27" ht="110.25">
      <c r="A91" s="8" t="s">
        <v>53</v>
      </c>
      <c r="B91" s="29" t="s">
        <v>274</v>
      </c>
      <c r="C91" s="8" t="s">
        <v>319</v>
      </c>
      <c r="D91" s="8" t="s">
        <v>329</v>
      </c>
      <c r="E91" s="8" t="s">
        <v>330</v>
      </c>
      <c r="F91" s="8" t="s">
        <v>2259</v>
      </c>
      <c r="G91" s="8" t="s">
        <v>62</v>
      </c>
      <c r="H91" s="8" t="s">
        <v>182</v>
      </c>
      <c r="I91" s="9">
        <v>1</v>
      </c>
      <c r="J91" s="9" t="s">
        <v>8</v>
      </c>
      <c r="K91" s="9" t="s">
        <v>2396</v>
      </c>
      <c r="L91" s="283" t="s">
        <v>2265</v>
      </c>
      <c r="M91" s="9" t="s">
        <v>10</v>
      </c>
      <c r="N91" s="9" t="s">
        <v>2258</v>
      </c>
      <c r="O91" s="281" t="s">
        <v>2303</v>
      </c>
      <c r="P91" s="8" t="s">
        <v>2258</v>
      </c>
      <c r="Q91" s="282"/>
      <c r="R91" s="37"/>
      <c r="S91" s="9"/>
      <c r="T91" s="9"/>
      <c r="U91" s="9"/>
      <c r="V91" s="9"/>
      <c r="W91" s="9"/>
      <c r="X91" s="9"/>
      <c r="Y91" s="9"/>
      <c r="Z91" s="9"/>
      <c r="AA91" s="8"/>
    </row>
    <row r="92" spans="1:27" ht="110.25">
      <c r="A92" s="8" t="s">
        <v>53</v>
      </c>
      <c r="B92" s="29" t="s">
        <v>274</v>
      </c>
      <c r="C92" s="8" t="s">
        <v>319</v>
      </c>
      <c r="D92" s="8" t="s">
        <v>331</v>
      </c>
      <c r="E92" s="8" t="s">
        <v>332</v>
      </c>
      <c r="F92" s="8" t="s">
        <v>2259</v>
      </c>
      <c r="G92" s="8" t="s">
        <v>62</v>
      </c>
      <c r="H92" s="8" t="s">
        <v>182</v>
      </c>
      <c r="I92" s="9">
        <v>1</v>
      </c>
      <c r="J92" s="9" t="s">
        <v>8</v>
      </c>
      <c r="K92" s="9" t="s">
        <v>2397</v>
      </c>
      <c r="L92" s="283" t="s">
        <v>2265</v>
      </c>
      <c r="M92" s="9" t="s">
        <v>10</v>
      </c>
      <c r="N92" s="9" t="s">
        <v>2258</v>
      </c>
      <c r="O92" s="281" t="s">
        <v>2303</v>
      </c>
      <c r="P92" s="8" t="s">
        <v>2258</v>
      </c>
      <c r="Q92" s="282"/>
      <c r="R92" s="37"/>
      <c r="S92" s="9"/>
      <c r="T92" s="9"/>
      <c r="U92" s="9"/>
      <c r="V92" s="9"/>
      <c r="W92" s="9"/>
      <c r="X92" s="9"/>
      <c r="Y92" s="9"/>
      <c r="Z92" s="9"/>
      <c r="AA92" s="8"/>
    </row>
    <row r="93" spans="1:27" ht="94.5">
      <c r="A93" s="8" t="s">
        <v>53</v>
      </c>
      <c r="B93" s="29" t="s">
        <v>274</v>
      </c>
      <c r="C93" s="8" t="s">
        <v>319</v>
      </c>
      <c r="D93" s="8" t="s">
        <v>333</v>
      </c>
      <c r="E93" s="8" t="s">
        <v>334</v>
      </c>
      <c r="F93" s="8" t="s">
        <v>2251</v>
      </c>
      <c r="G93" s="8" t="s">
        <v>62</v>
      </c>
      <c r="H93" s="8" t="s">
        <v>335</v>
      </c>
      <c r="I93" s="9">
        <v>1</v>
      </c>
      <c r="J93" s="9" t="s">
        <v>8</v>
      </c>
      <c r="K93" s="9" t="s">
        <v>2398</v>
      </c>
      <c r="L93" s="283" t="s">
        <v>2273</v>
      </c>
      <c r="M93" s="9" t="s">
        <v>10</v>
      </c>
      <c r="N93" s="9" t="s">
        <v>2399</v>
      </c>
      <c r="O93" s="281" t="s">
        <v>2303</v>
      </c>
      <c r="P93" s="8" t="s">
        <v>2258</v>
      </c>
      <c r="Q93" s="282"/>
      <c r="R93" s="37"/>
      <c r="S93" s="9"/>
      <c r="T93" s="9"/>
      <c r="U93" s="9"/>
      <c r="V93" s="9"/>
      <c r="W93" s="9"/>
      <c r="X93" s="9"/>
      <c r="Y93" s="9"/>
      <c r="Z93" s="9"/>
      <c r="AA93" s="8"/>
    </row>
    <row r="94" spans="1:27" ht="110.25" hidden="1">
      <c r="A94" s="8" t="s">
        <v>53</v>
      </c>
      <c r="B94" s="29" t="s">
        <v>336</v>
      </c>
      <c r="C94" s="8" t="s">
        <v>337</v>
      </c>
      <c r="D94" s="8" t="s">
        <v>338</v>
      </c>
      <c r="E94" s="8" t="s">
        <v>339</v>
      </c>
      <c r="F94" s="20"/>
      <c r="G94" s="20" t="s">
        <v>71</v>
      </c>
      <c r="H94" s="20"/>
      <c r="I94" s="20"/>
      <c r="J94" s="20"/>
      <c r="K94" s="20"/>
      <c r="L94" s="278"/>
      <c r="M94" s="20"/>
      <c r="N94" s="20"/>
      <c r="O94" s="279"/>
      <c r="P94" s="20"/>
      <c r="Q94" s="132"/>
      <c r="R94" s="39"/>
      <c r="S94" s="20"/>
      <c r="T94" s="20"/>
      <c r="U94" s="20"/>
      <c r="V94" s="20"/>
      <c r="W94" s="20"/>
      <c r="X94" s="20"/>
      <c r="Y94" s="20"/>
      <c r="Z94" s="20"/>
      <c r="AA94" s="20"/>
    </row>
    <row r="95" spans="1:27" ht="94.5">
      <c r="A95" s="8" t="s">
        <v>53</v>
      </c>
      <c r="B95" s="29" t="s">
        <v>336</v>
      </c>
      <c r="C95" s="8" t="s">
        <v>337</v>
      </c>
      <c r="D95" s="8" t="s">
        <v>340</v>
      </c>
      <c r="E95" s="69" t="s">
        <v>341</v>
      </c>
      <c r="F95" s="8" t="s">
        <v>2251</v>
      </c>
      <c r="G95" s="8" t="s">
        <v>62</v>
      </c>
      <c r="H95" s="8" t="s">
        <v>342</v>
      </c>
      <c r="I95" s="8" t="s">
        <v>343</v>
      </c>
      <c r="J95" s="8" t="s">
        <v>8</v>
      </c>
      <c r="K95" s="8" t="s">
        <v>2400</v>
      </c>
      <c r="L95" s="283" t="s">
        <v>2273</v>
      </c>
      <c r="M95" s="8" t="s">
        <v>9</v>
      </c>
      <c r="N95" s="8" t="s">
        <v>2401</v>
      </c>
      <c r="O95" s="281" t="s">
        <v>2303</v>
      </c>
      <c r="P95" s="8" t="s">
        <v>2274</v>
      </c>
      <c r="Q95" s="132"/>
      <c r="R95" s="38"/>
      <c r="S95" s="8"/>
      <c r="T95" s="8"/>
      <c r="U95" s="8"/>
      <c r="V95" s="8"/>
      <c r="W95" s="8"/>
      <c r="X95" s="8"/>
      <c r="Y95" s="8"/>
      <c r="Z95" s="8"/>
      <c r="AA95" s="8"/>
    </row>
    <row r="96" spans="1:27" ht="94.5">
      <c r="A96" s="8" t="s">
        <v>53</v>
      </c>
      <c r="B96" s="29" t="s">
        <v>336</v>
      </c>
      <c r="C96" s="8" t="s">
        <v>337</v>
      </c>
      <c r="D96" s="8" t="s">
        <v>344</v>
      </c>
      <c r="E96" s="69" t="s">
        <v>345</v>
      </c>
      <c r="F96" s="8" t="s">
        <v>2251</v>
      </c>
      <c r="G96" s="8" t="s">
        <v>62</v>
      </c>
      <c r="H96" s="8" t="s">
        <v>346</v>
      </c>
      <c r="I96" s="8" t="s">
        <v>343</v>
      </c>
      <c r="J96" s="8" t="s">
        <v>8</v>
      </c>
      <c r="K96" s="8" t="s">
        <v>2400</v>
      </c>
      <c r="L96" s="283" t="s">
        <v>2273</v>
      </c>
      <c r="M96" s="8" t="s">
        <v>9</v>
      </c>
      <c r="N96" s="8" t="s">
        <v>2401</v>
      </c>
      <c r="O96" s="281" t="s">
        <v>2303</v>
      </c>
      <c r="P96" s="8" t="s">
        <v>2258</v>
      </c>
      <c r="Q96" s="132"/>
      <c r="R96" s="38"/>
      <c r="S96" s="8"/>
      <c r="T96" s="8"/>
      <c r="U96" s="8"/>
      <c r="V96" s="8"/>
      <c r="W96" s="8"/>
      <c r="X96" s="8"/>
      <c r="Y96" s="8"/>
      <c r="Z96" s="8"/>
      <c r="AA96" s="8"/>
    </row>
    <row r="97" spans="1:27" ht="157.5">
      <c r="A97" s="8" t="s">
        <v>53</v>
      </c>
      <c r="B97" s="29" t="s">
        <v>336</v>
      </c>
      <c r="C97" s="8" t="s">
        <v>337</v>
      </c>
      <c r="D97" s="8" t="s">
        <v>347</v>
      </c>
      <c r="E97" s="8" t="s">
        <v>348</v>
      </c>
      <c r="F97" s="8" t="s">
        <v>2327</v>
      </c>
      <c r="G97" s="8" t="s">
        <v>62</v>
      </c>
      <c r="H97" s="8" t="s">
        <v>349</v>
      </c>
      <c r="I97" s="8" t="s">
        <v>110</v>
      </c>
      <c r="J97" s="8" t="s">
        <v>8</v>
      </c>
      <c r="K97" s="8" t="s">
        <v>2402</v>
      </c>
      <c r="L97" s="283" t="s">
        <v>2355</v>
      </c>
      <c r="M97" s="8" t="s">
        <v>9</v>
      </c>
      <c r="N97" s="8" t="s">
        <v>2403</v>
      </c>
      <c r="O97" s="281">
        <v>2000</v>
      </c>
      <c r="P97" s="8" t="s">
        <v>2404</v>
      </c>
      <c r="Q97" s="132"/>
      <c r="R97" s="38"/>
      <c r="S97" s="8"/>
      <c r="T97" s="8"/>
      <c r="U97" s="8"/>
      <c r="V97" s="8"/>
      <c r="W97" s="8"/>
      <c r="X97" s="8"/>
      <c r="Y97" s="8"/>
      <c r="Z97" s="8"/>
      <c r="AA97" s="8"/>
    </row>
    <row r="98" spans="1:27" ht="56.25">
      <c r="A98" s="8" t="s">
        <v>53</v>
      </c>
      <c r="B98" s="29" t="s">
        <v>336</v>
      </c>
      <c r="C98" s="8" t="s">
        <v>337</v>
      </c>
      <c r="D98" s="8" t="s">
        <v>350</v>
      </c>
      <c r="E98" s="8" t="s">
        <v>351</v>
      </c>
      <c r="F98" s="20"/>
      <c r="G98" s="20" t="s">
        <v>58</v>
      </c>
      <c r="H98" s="20" t="s">
        <v>352</v>
      </c>
      <c r="I98" s="22">
        <v>1</v>
      </c>
      <c r="J98" s="20"/>
      <c r="K98" s="20"/>
      <c r="L98" s="278"/>
      <c r="M98" s="20"/>
      <c r="N98" s="20"/>
      <c r="O98" s="279"/>
      <c r="P98" s="20"/>
      <c r="Q98" s="132"/>
      <c r="R98" s="39"/>
      <c r="S98" s="20"/>
      <c r="T98" s="20"/>
      <c r="U98" s="20"/>
      <c r="V98" s="20"/>
      <c r="W98" s="20"/>
      <c r="X98" s="20"/>
      <c r="Y98" s="20"/>
      <c r="Z98" s="20"/>
      <c r="AA98" s="20"/>
    </row>
    <row r="99" spans="1:27" ht="173.25">
      <c r="A99" s="8" t="s">
        <v>53</v>
      </c>
      <c r="B99" s="29" t="s">
        <v>336</v>
      </c>
      <c r="C99" s="8" t="s">
        <v>337</v>
      </c>
      <c r="D99" s="8" t="s">
        <v>353</v>
      </c>
      <c r="E99" s="69" t="s">
        <v>354</v>
      </c>
      <c r="F99" s="8" t="s">
        <v>2327</v>
      </c>
      <c r="G99" s="8" t="s">
        <v>58</v>
      </c>
      <c r="H99" s="8" t="s">
        <v>352</v>
      </c>
      <c r="I99" s="9">
        <v>1</v>
      </c>
      <c r="J99" s="9" t="s">
        <v>8</v>
      </c>
      <c r="K99" s="9" t="s">
        <v>2405</v>
      </c>
      <c r="L99" s="283"/>
      <c r="M99" s="9" t="s">
        <v>10</v>
      </c>
      <c r="N99" s="9" t="s">
        <v>2406</v>
      </c>
      <c r="O99" s="281" t="s">
        <v>2303</v>
      </c>
      <c r="P99" s="8" t="s">
        <v>2407</v>
      </c>
      <c r="Q99" s="282"/>
      <c r="R99" s="37"/>
      <c r="S99" s="9"/>
      <c r="T99" s="9"/>
      <c r="U99" s="9"/>
      <c r="V99" s="9"/>
      <c r="W99" s="9"/>
      <c r="X99" s="9"/>
      <c r="Y99" s="9"/>
      <c r="Z99" s="9"/>
      <c r="AA99" s="8"/>
    </row>
    <row r="100" spans="1:27" ht="94.5">
      <c r="A100" s="8" t="s">
        <v>53</v>
      </c>
      <c r="B100" s="29" t="s">
        <v>336</v>
      </c>
      <c r="C100" s="8" t="s">
        <v>337</v>
      </c>
      <c r="D100" s="8" t="s">
        <v>355</v>
      </c>
      <c r="E100" s="69" t="s">
        <v>356</v>
      </c>
      <c r="F100" s="8" t="s">
        <v>2327</v>
      </c>
      <c r="G100" s="8" t="s">
        <v>58</v>
      </c>
      <c r="H100" s="8" t="s">
        <v>352</v>
      </c>
      <c r="I100" s="9">
        <v>1</v>
      </c>
      <c r="J100" s="9" t="s">
        <v>8</v>
      </c>
      <c r="K100" s="9" t="s">
        <v>2408</v>
      </c>
      <c r="L100" s="283"/>
      <c r="M100" s="9" t="s">
        <v>10</v>
      </c>
      <c r="N100" s="9" t="s">
        <v>2409</v>
      </c>
      <c r="O100" s="281" t="s">
        <v>2303</v>
      </c>
      <c r="P100" s="8" t="s">
        <v>2258</v>
      </c>
      <c r="Q100" s="282"/>
      <c r="R100" s="37"/>
      <c r="S100" s="9"/>
      <c r="T100" s="9"/>
      <c r="U100" s="9"/>
      <c r="V100" s="9"/>
      <c r="W100" s="9"/>
      <c r="X100" s="9"/>
      <c r="Y100" s="9"/>
      <c r="Z100" s="9"/>
      <c r="AA100" s="8"/>
    </row>
    <row r="101" spans="1:27" ht="56.25">
      <c r="A101" s="8" t="s">
        <v>53</v>
      </c>
      <c r="B101" s="29" t="s">
        <v>336</v>
      </c>
      <c r="C101" s="8" t="s">
        <v>337</v>
      </c>
      <c r="D101" s="8" t="s">
        <v>357</v>
      </c>
      <c r="E101" s="69" t="s">
        <v>358</v>
      </c>
      <c r="F101" s="8" t="s">
        <v>2327</v>
      </c>
      <c r="G101" s="8" t="s">
        <v>58</v>
      </c>
      <c r="H101" s="8" t="s">
        <v>352</v>
      </c>
      <c r="I101" s="9">
        <v>1</v>
      </c>
      <c r="J101" s="9" t="s">
        <v>8</v>
      </c>
      <c r="K101" s="9" t="s">
        <v>2408</v>
      </c>
      <c r="L101" s="283"/>
      <c r="M101" s="9" t="s">
        <v>10</v>
      </c>
      <c r="N101" s="9" t="s">
        <v>2410</v>
      </c>
      <c r="O101" s="281" t="s">
        <v>2303</v>
      </c>
      <c r="P101" s="8" t="s">
        <v>2258</v>
      </c>
      <c r="Q101" s="282"/>
      <c r="R101" s="37"/>
      <c r="S101" s="9"/>
      <c r="T101" s="9"/>
      <c r="U101" s="9"/>
      <c r="V101" s="9"/>
      <c r="W101" s="9"/>
      <c r="X101" s="9"/>
      <c r="Y101" s="9"/>
      <c r="Z101" s="9"/>
      <c r="AA101" s="8"/>
    </row>
    <row r="102" spans="1:27" ht="56.25">
      <c r="A102" s="8" t="s">
        <v>53</v>
      </c>
      <c r="B102" s="29" t="s">
        <v>336</v>
      </c>
      <c r="C102" s="8" t="s">
        <v>337</v>
      </c>
      <c r="D102" s="8" t="s">
        <v>359</v>
      </c>
      <c r="E102" s="69" t="s">
        <v>360</v>
      </c>
      <c r="F102" s="8" t="s">
        <v>2327</v>
      </c>
      <c r="G102" s="8" t="s">
        <v>58</v>
      </c>
      <c r="H102" s="8" t="s">
        <v>352</v>
      </c>
      <c r="I102" s="9">
        <v>1</v>
      </c>
      <c r="J102" s="9" t="s">
        <v>8</v>
      </c>
      <c r="K102" s="9" t="s">
        <v>2408</v>
      </c>
      <c r="L102" s="283"/>
      <c r="M102" s="9" t="s">
        <v>10</v>
      </c>
      <c r="N102" s="9" t="s">
        <v>2410</v>
      </c>
      <c r="O102" s="281" t="s">
        <v>2303</v>
      </c>
      <c r="P102" s="8" t="s">
        <v>2258</v>
      </c>
      <c r="Q102" s="282"/>
      <c r="R102" s="37"/>
      <c r="S102" s="9"/>
      <c r="T102" s="9"/>
      <c r="U102" s="9"/>
      <c r="V102" s="9"/>
      <c r="W102" s="9"/>
      <c r="X102" s="9"/>
      <c r="Y102" s="9"/>
      <c r="Z102" s="9"/>
      <c r="AA102" s="8"/>
    </row>
    <row r="103" spans="1:27" ht="94.5">
      <c r="A103" s="8" t="s">
        <v>53</v>
      </c>
      <c r="B103" s="29" t="s">
        <v>336</v>
      </c>
      <c r="C103" s="8" t="s">
        <v>337</v>
      </c>
      <c r="D103" s="8" t="s">
        <v>361</v>
      </c>
      <c r="E103" s="69" t="s">
        <v>362</v>
      </c>
      <c r="F103" s="8" t="s">
        <v>2327</v>
      </c>
      <c r="G103" s="8" t="s">
        <v>58</v>
      </c>
      <c r="H103" s="8" t="s">
        <v>352</v>
      </c>
      <c r="I103" s="9">
        <v>1</v>
      </c>
      <c r="J103" s="9" t="s">
        <v>8</v>
      </c>
      <c r="K103" s="9" t="s">
        <v>2408</v>
      </c>
      <c r="L103" s="283"/>
      <c r="M103" s="9" t="s">
        <v>10</v>
      </c>
      <c r="N103" s="9" t="s">
        <v>2411</v>
      </c>
      <c r="O103" s="281" t="s">
        <v>2303</v>
      </c>
      <c r="P103" s="8" t="s">
        <v>2258</v>
      </c>
      <c r="Q103" s="282"/>
      <c r="R103" s="37"/>
      <c r="S103" s="9"/>
      <c r="T103" s="9"/>
      <c r="U103" s="9"/>
      <c r="V103" s="9"/>
      <c r="W103" s="9"/>
      <c r="X103" s="9"/>
      <c r="Y103" s="9"/>
      <c r="Z103" s="9"/>
      <c r="AA103" s="8"/>
    </row>
    <row r="104" spans="1:27" ht="94.5">
      <c r="A104" s="8" t="s">
        <v>53</v>
      </c>
      <c r="B104" s="29" t="s">
        <v>336</v>
      </c>
      <c r="C104" s="8" t="s">
        <v>337</v>
      </c>
      <c r="D104" s="8" t="s">
        <v>363</v>
      </c>
      <c r="E104" s="69" t="s">
        <v>364</v>
      </c>
      <c r="F104" s="8" t="s">
        <v>2327</v>
      </c>
      <c r="G104" s="8" t="s">
        <v>58</v>
      </c>
      <c r="H104" s="8" t="s">
        <v>352</v>
      </c>
      <c r="I104" s="9">
        <v>1</v>
      </c>
      <c r="J104" s="9" t="s">
        <v>8</v>
      </c>
      <c r="K104" s="9" t="s">
        <v>2408</v>
      </c>
      <c r="L104" s="283"/>
      <c r="M104" s="9" t="s">
        <v>10</v>
      </c>
      <c r="N104" s="9" t="s">
        <v>2411</v>
      </c>
      <c r="O104" s="281" t="s">
        <v>2303</v>
      </c>
      <c r="P104" s="8" t="s">
        <v>2258</v>
      </c>
      <c r="Q104" s="282"/>
      <c r="R104" s="37"/>
      <c r="S104" s="9"/>
      <c r="T104" s="9"/>
      <c r="U104" s="9"/>
      <c r="V104" s="9"/>
      <c r="W104" s="9"/>
      <c r="X104" s="9"/>
      <c r="Y104" s="9"/>
      <c r="Z104" s="9"/>
      <c r="AA104" s="8"/>
    </row>
    <row r="105" spans="1:27" ht="94.5">
      <c r="A105" s="8" t="s">
        <v>53</v>
      </c>
      <c r="B105" s="29" t="s">
        <v>336</v>
      </c>
      <c r="C105" s="8" t="s">
        <v>337</v>
      </c>
      <c r="D105" s="8" t="s">
        <v>365</v>
      </c>
      <c r="E105" s="69" t="s">
        <v>366</v>
      </c>
      <c r="F105" s="8" t="s">
        <v>2327</v>
      </c>
      <c r="G105" s="8" t="s">
        <v>58</v>
      </c>
      <c r="H105" s="8" t="s">
        <v>352</v>
      </c>
      <c r="I105" s="9">
        <v>1</v>
      </c>
      <c r="J105" s="9" t="s">
        <v>8</v>
      </c>
      <c r="K105" s="9" t="s">
        <v>2408</v>
      </c>
      <c r="L105" s="283"/>
      <c r="M105" s="9" t="s">
        <v>10</v>
      </c>
      <c r="N105" s="9" t="s">
        <v>2411</v>
      </c>
      <c r="O105" s="281" t="s">
        <v>2303</v>
      </c>
      <c r="P105" s="8" t="s">
        <v>2258</v>
      </c>
      <c r="Q105" s="282"/>
      <c r="R105" s="37"/>
      <c r="S105" s="9"/>
      <c r="T105" s="9"/>
      <c r="U105" s="9"/>
      <c r="V105" s="9"/>
      <c r="W105" s="9"/>
      <c r="X105" s="9"/>
      <c r="Y105" s="9"/>
      <c r="Z105" s="9"/>
      <c r="AA105" s="8"/>
    </row>
    <row r="106" spans="1:27" ht="94.5">
      <c r="A106" s="8" t="s">
        <v>53</v>
      </c>
      <c r="B106" s="29" t="s">
        <v>336</v>
      </c>
      <c r="C106" s="8" t="s">
        <v>337</v>
      </c>
      <c r="D106" s="8" t="s">
        <v>367</v>
      </c>
      <c r="E106" s="69" t="s">
        <v>368</v>
      </c>
      <c r="F106" s="8" t="s">
        <v>2327</v>
      </c>
      <c r="G106" s="8" t="s">
        <v>58</v>
      </c>
      <c r="H106" s="8" t="s">
        <v>352</v>
      </c>
      <c r="I106" s="9">
        <v>1</v>
      </c>
      <c r="J106" s="9" t="s">
        <v>8</v>
      </c>
      <c r="K106" s="9" t="s">
        <v>2408</v>
      </c>
      <c r="L106" s="283"/>
      <c r="M106" s="9" t="s">
        <v>10</v>
      </c>
      <c r="N106" s="9" t="s">
        <v>2411</v>
      </c>
      <c r="O106" s="281" t="s">
        <v>2303</v>
      </c>
      <c r="P106" s="8" t="s">
        <v>2258</v>
      </c>
      <c r="Q106" s="282"/>
      <c r="R106" s="37"/>
      <c r="S106" s="9"/>
      <c r="T106" s="9"/>
      <c r="U106" s="9"/>
      <c r="V106" s="9"/>
      <c r="W106" s="9"/>
      <c r="X106" s="9"/>
      <c r="Y106" s="9"/>
      <c r="Z106" s="9"/>
      <c r="AA106" s="8"/>
    </row>
    <row r="107" spans="1:27" ht="94.5">
      <c r="A107" s="8" t="s">
        <v>53</v>
      </c>
      <c r="B107" s="29" t="s">
        <v>336</v>
      </c>
      <c r="C107" s="8" t="s">
        <v>337</v>
      </c>
      <c r="D107" s="8" t="s">
        <v>369</v>
      </c>
      <c r="E107" s="69" t="s">
        <v>370</v>
      </c>
      <c r="F107" s="8" t="s">
        <v>2327</v>
      </c>
      <c r="G107" s="8" t="s">
        <v>58</v>
      </c>
      <c r="H107" s="8" t="s">
        <v>352</v>
      </c>
      <c r="I107" s="9">
        <v>1</v>
      </c>
      <c r="J107" s="9" t="s">
        <v>8</v>
      </c>
      <c r="K107" s="9" t="s">
        <v>2408</v>
      </c>
      <c r="L107" s="283"/>
      <c r="M107" s="9" t="s">
        <v>10</v>
      </c>
      <c r="N107" s="9" t="s">
        <v>2411</v>
      </c>
      <c r="O107" s="281" t="s">
        <v>2303</v>
      </c>
      <c r="P107" s="8" t="s">
        <v>2258</v>
      </c>
      <c r="Q107" s="282"/>
      <c r="R107" s="37"/>
      <c r="S107" s="9"/>
      <c r="T107" s="9"/>
      <c r="U107" s="9"/>
      <c r="V107" s="9"/>
      <c r="W107" s="9"/>
      <c r="X107" s="9"/>
      <c r="Y107" s="9"/>
      <c r="Z107" s="9"/>
      <c r="AA107" s="8"/>
    </row>
    <row r="108" spans="1:27" ht="56.25">
      <c r="A108" s="8" t="s">
        <v>53</v>
      </c>
      <c r="B108" s="29" t="s">
        <v>336</v>
      </c>
      <c r="C108" s="8" t="s">
        <v>337</v>
      </c>
      <c r="D108" s="8" t="s">
        <v>371</v>
      </c>
      <c r="E108" s="69" t="s">
        <v>372</v>
      </c>
      <c r="F108" s="8" t="s">
        <v>2327</v>
      </c>
      <c r="G108" s="8" t="s">
        <v>58</v>
      </c>
      <c r="H108" s="8" t="s">
        <v>352</v>
      </c>
      <c r="I108" s="9">
        <v>1</v>
      </c>
      <c r="J108" s="9" t="s">
        <v>8</v>
      </c>
      <c r="K108" s="9" t="s">
        <v>2408</v>
      </c>
      <c r="L108" s="283"/>
      <c r="M108" s="9" t="s">
        <v>10</v>
      </c>
      <c r="N108" s="9" t="s">
        <v>2410</v>
      </c>
      <c r="O108" s="281" t="s">
        <v>2303</v>
      </c>
      <c r="P108" s="8" t="s">
        <v>2258</v>
      </c>
      <c r="Q108" s="282"/>
      <c r="R108" s="37"/>
      <c r="S108" s="9"/>
      <c r="T108" s="9"/>
      <c r="U108" s="9"/>
      <c r="V108" s="9"/>
      <c r="W108" s="9"/>
      <c r="X108" s="9"/>
      <c r="Y108" s="9"/>
      <c r="Z108" s="9"/>
      <c r="AA108" s="8"/>
    </row>
    <row r="109" spans="1:27" ht="56.25">
      <c r="A109" s="8" t="s">
        <v>53</v>
      </c>
      <c r="B109" s="29" t="s">
        <v>336</v>
      </c>
      <c r="C109" s="8" t="s">
        <v>337</v>
      </c>
      <c r="D109" s="8" t="s">
        <v>373</v>
      </c>
      <c r="E109" s="69" t="s">
        <v>374</v>
      </c>
      <c r="F109" s="8" t="s">
        <v>2327</v>
      </c>
      <c r="G109" s="8" t="s">
        <v>58</v>
      </c>
      <c r="H109" s="8" t="s">
        <v>352</v>
      </c>
      <c r="I109" s="9">
        <v>1</v>
      </c>
      <c r="J109" s="9" t="s">
        <v>8</v>
      </c>
      <c r="K109" s="9" t="s">
        <v>2408</v>
      </c>
      <c r="L109" s="283"/>
      <c r="M109" s="9" t="s">
        <v>10</v>
      </c>
      <c r="N109" s="9" t="s">
        <v>2410</v>
      </c>
      <c r="O109" s="281" t="s">
        <v>2303</v>
      </c>
      <c r="P109" s="8" t="s">
        <v>2258</v>
      </c>
      <c r="Q109" s="282"/>
      <c r="R109" s="37"/>
      <c r="S109" s="9"/>
      <c r="T109" s="9"/>
      <c r="U109" s="9"/>
      <c r="V109" s="9"/>
      <c r="W109" s="9"/>
      <c r="X109" s="9"/>
      <c r="Y109" s="9"/>
      <c r="Z109" s="9"/>
      <c r="AA109" s="8"/>
    </row>
    <row r="110" spans="1:27" ht="56.25">
      <c r="A110" s="8" t="s">
        <v>53</v>
      </c>
      <c r="B110" s="29" t="s">
        <v>336</v>
      </c>
      <c r="C110" s="8" t="s">
        <v>337</v>
      </c>
      <c r="D110" s="8" t="s">
        <v>375</v>
      </c>
      <c r="E110" s="69" t="s">
        <v>376</v>
      </c>
      <c r="F110" s="8" t="s">
        <v>2327</v>
      </c>
      <c r="G110" s="8" t="s">
        <v>58</v>
      </c>
      <c r="H110" s="8" t="s">
        <v>352</v>
      </c>
      <c r="I110" s="9">
        <v>1</v>
      </c>
      <c r="J110" s="9" t="s">
        <v>8</v>
      </c>
      <c r="K110" s="9" t="s">
        <v>2408</v>
      </c>
      <c r="L110" s="283"/>
      <c r="M110" s="9" t="s">
        <v>10</v>
      </c>
      <c r="N110" s="9" t="s">
        <v>2410</v>
      </c>
      <c r="O110" s="281" t="s">
        <v>2303</v>
      </c>
      <c r="P110" s="8" t="s">
        <v>2258</v>
      </c>
      <c r="Q110" s="282"/>
      <c r="R110" s="37"/>
      <c r="S110" s="9"/>
      <c r="T110" s="9"/>
      <c r="U110" s="9"/>
      <c r="V110" s="9"/>
      <c r="W110" s="9"/>
      <c r="X110" s="9"/>
      <c r="Y110" s="9"/>
      <c r="Z110" s="9"/>
      <c r="AA110" s="8"/>
    </row>
    <row r="111" spans="1:27" ht="56.25">
      <c r="A111" s="8" t="s">
        <v>53</v>
      </c>
      <c r="B111" s="29" t="s">
        <v>336</v>
      </c>
      <c r="C111" s="8" t="s">
        <v>337</v>
      </c>
      <c r="D111" s="8" t="s">
        <v>377</v>
      </c>
      <c r="E111" s="69" t="s">
        <v>378</v>
      </c>
      <c r="F111" s="8" t="s">
        <v>2327</v>
      </c>
      <c r="G111" s="8" t="s">
        <v>58</v>
      </c>
      <c r="H111" s="8" t="s">
        <v>352</v>
      </c>
      <c r="I111" s="9">
        <v>1</v>
      </c>
      <c r="J111" s="9" t="s">
        <v>8</v>
      </c>
      <c r="K111" s="9" t="s">
        <v>2408</v>
      </c>
      <c r="L111" s="283"/>
      <c r="M111" s="9" t="s">
        <v>10</v>
      </c>
      <c r="N111" s="9" t="s">
        <v>2410</v>
      </c>
      <c r="O111" s="281" t="s">
        <v>2303</v>
      </c>
      <c r="P111" s="8" t="s">
        <v>2258</v>
      </c>
      <c r="Q111" s="282"/>
      <c r="R111" s="37"/>
      <c r="S111" s="9"/>
      <c r="T111" s="9"/>
      <c r="U111" s="9"/>
      <c r="V111" s="9"/>
      <c r="W111" s="9"/>
      <c r="X111" s="9"/>
      <c r="Y111" s="9"/>
      <c r="Z111" s="9"/>
      <c r="AA111" s="8"/>
    </row>
    <row r="112" spans="1:27" ht="56.25">
      <c r="A112" s="8" t="s">
        <v>53</v>
      </c>
      <c r="B112" s="29" t="s">
        <v>336</v>
      </c>
      <c r="C112" s="8" t="s">
        <v>337</v>
      </c>
      <c r="D112" s="8" t="s">
        <v>379</v>
      </c>
      <c r="E112" s="69" t="s">
        <v>380</v>
      </c>
      <c r="F112" s="8" t="s">
        <v>2327</v>
      </c>
      <c r="G112" s="8" t="s">
        <v>58</v>
      </c>
      <c r="H112" s="8" t="s">
        <v>352</v>
      </c>
      <c r="I112" s="9">
        <v>1</v>
      </c>
      <c r="J112" s="9" t="s">
        <v>8</v>
      </c>
      <c r="K112" s="9" t="s">
        <v>2408</v>
      </c>
      <c r="L112" s="283"/>
      <c r="M112" s="9" t="s">
        <v>10</v>
      </c>
      <c r="N112" s="9" t="s">
        <v>2410</v>
      </c>
      <c r="O112" s="281" t="s">
        <v>2303</v>
      </c>
      <c r="P112" s="8" t="s">
        <v>2258</v>
      </c>
      <c r="Q112" s="282"/>
      <c r="R112" s="37"/>
      <c r="S112" s="9"/>
      <c r="T112" s="9"/>
      <c r="U112" s="9"/>
      <c r="V112" s="9"/>
      <c r="W112" s="9"/>
      <c r="X112" s="9"/>
      <c r="Y112" s="9"/>
      <c r="Z112" s="9"/>
      <c r="AA112" s="8"/>
    </row>
    <row r="113" spans="1:27" ht="56.25">
      <c r="A113" s="8" t="s">
        <v>53</v>
      </c>
      <c r="B113" s="29" t="s">
        <v>336</v>
      </c>
      <c r="C113" s="8" t="s">
        <v>337</v>
      </c>
      <c r="D113" s="8" t="s">
        <v>381</v>
      </c>
      <c r="E113" s="69" t="s">
        <v>382</v>
      </c>
      <c r="F113" s="8" t="s">
        <v>2327</v>
      </c>
      <c r="G113" s="8" t="s">
        <v>58</v>
      </c>
      <c r="H113" s="8" t="s">
        <v>352</v>
      </c>
      <c r="I113" s="9">
        <v>1</v>
      </c>
      <c r="J113" s="9" t="s">
        <v>8</v>
      </c>
      <c r="K113" s="9" t="s">
        <v>2408</v>
      </c>
      <c r="L113" s="283"/>
      <c r="M113" s="9" t="s">
        <v>10</v>
      </c>
      <c r="N113" s="9" t="s">
        <v>2410</v>
      </c>
      <c r="O113" s="281" t="s">
        <v>2303</v>
      </c>
      <c r="P113" s="8" t="s">
        <v>2258</v>
      </c>
      <c r="Q113" s="282"/>
      <c r="R113" s="37"/>
      <c r="S113" s="9"/>
      <c r="T113" s="9"/>
      <c r="U113" s="9"/>
      <c r="V113" s="9"/>
      <c r="W113" s="9"/>
      <c r="X113" s="9"/>
      <c r="Y113" s="9"/>
      <c r="Z113" s="9"/>
      <c r="AA113" s="8"/>
    </row>
    <row r="114" spans="1:27" ht="56.25">
      <c r="A114" s="8" t="s">
        <v>53</v>
      </c>
      <c r="B114" s="29" t="s">
        <v>336</v>
      </c>
      <c r="C114" s="8" t="s">
        <v>337</v>
      </c>
      <c r="D114" s="8" t="s">
        <v>383</v>
      </c>
      <c r="E114" s="69" t="s">
        <v>384</v>
      </c>
      <c r="F114" s="8" t="s">
        <v>2327</v>
      </c>
      <c r="G114" s="8" t="s">
        <v>58</v>
      </c>
      <c r="H114" s="8" t="s">
        <v>352</v>
      </c>
      <c r="I114" s="9">
        <v>1</v>
      </c>
      <c r="J114" s="9" t="s">
        <v>8</v>
      </c>
      <c r="K114" s="9" t="s">
        <v>2408</v>
      </c>
      <c r="L114" s="283"/>
      <c r="M114" s="9" t="s">
        <v>10</v>
      </c>
      <c r="N114" s="9" t="s">
        <v>2410</v>
      </c>
      <c r="O114" s="281" t="s">
        <v>2303</v>
      </c>
      <c r="P114" s="8" t="s">
        <v>2258</v>
      </c>
      <c r="Q114" s="282"/>
      <c r="R114" s="37"/>
      <c r="S114" s="9"/>
      <c r="T114" s="9"/>
      <c r="U114" s="9"/>
      <c r="V114" s="9"/>
      <c r="W114" s="9"/>
      <c r="X114" s="9"/>
      <c r="Y114" s="9"/>
      <c r="Z114" s="9"/>
      <c r="AA114" s="8"/>
    </row>
    <row r="115" spans="1:27" ht="56.25">
      <c r="A115" s="8" t="s">
        <v>53</v>
      </c>
      <c r="B115" s="29" t="s">
        <v>336</v>
      </c>
      <c r="C115" s="8" t="s">
        <v>337</v>
      </c>
      <c r="D115" s="8" t="s">
        <v>385</v>
      </c>
      <c r="E115" s="69" t="s">
        <v>386</v>
      </c>
      <c r="F115" s="8" t="s">
        <v>2327</v>
      </c>
      <c r="G115" s="8" t="s">
        <v>58</v>
      </c>
      <c r="H115" s="8" t="s">
        <v>352</v>
      </c>
      <c r="I115" s="9">
        <v>1</v>
      </c>
      <c r="J115" s="9" t="s">
        <v>8</v>
      </c>
      <c r="K115" s="9" t="s">
        <v>2408</v>
      </c>
      <c r="L115" s="283"/>
      <c r="M115" s="9" t="s">
        <v>10</v>
      </c>
      <c r="N115" s="9" t="s">
        <v>2410</v>
      </c>
      <c r="O115" s="281" t="s">
        <v>2303</v>
      </c>
      <c r="P115" s="8" t="s">
        <v>2258</v>
      </c>
      <c r="Q115" s="282"/>
      <c r="R115" s="37"/>
      <c r="S115" s="9"/>
      <c r="T115" s="9"/>
      <c r="U115" s="9"/>
      <c r="V115" s="9"/>
      <c r="W115" s="9"/>
      <c r="X115" s="9"/>
      <c r="Y115" s="9"/>
      <c r="Z115" s="9"/>
      <c r="AA115" s="8"/>
    </row>
    <row r="116" spans="1:27" ht="56.25">
      <c r="A116" s="8" t="s">
        <v>53</v>
      </c>
      <c r="B116" s="29" t="s">
        <v>336</v>
      </c>
      <c r="C116" s="8" t="s">
        <v>337</v>
      </c>
      <c r="D116" s="8" t="s">
        <v>387</v>
      </c>
      <c r="E116" s="69" t="s">
        <v>388</v>
      </c>
      <c r="F116" s="8" t="s">
        <v>2327</v>
      </c>
      <c r="G116" s="8" t="s">
        <v>58</v>
      </c>
      <c r="H116" s="8" t="s">
        <v>352</v>
      </c>
      <c r="I116" s="9">
        <v>1</v>
      </c>
      <c r="J116" s="9" t="s">
        <v>8</v>
      </c>
      <c r="K116" s="9" t="s">
        <v>2408</v>
      </c>
      <c r="L116" s="283"/>
      <c r="M116" s="9" t="s">
        <v>10</v>
      </c>
      <c r="N116" s="9" t="s">
        <v>2410</v>
      </c>
      <c r="O116" s="281" t="s">
        <v>2303</v>
      </c>
      <c r="P116" s="8" t="s">
        <v>2258</v>
      </c>
      <c r="Q116" s="282"/>
      <c r="R116" s="37"/>
      <c r="S116" s="9"/>
      <c r="T116" s="9"/>
      <c r="U116" s="9"/>
      <c r="V116" s="9"/>
      <c r="W116" s="9"/>
      <c r="X116" s="9"/>
      <c r="Y116" s="9"/>
      <c r="Z116" s="9"/>
      <c r="AA116" s="8"/>
    </row>
    <row r="117" spans="1:27" ht="56.25">
      <c r="A117" s="8" t="s">
        <v>53</v>
      </c>
      <c r="B117" s="29" t="s">
        <v>336</v>
      </c>
      <c r="C117" s="8" t="s">
        <v>337</v>
      </c>
      <c r="D117" s="8" t="s">
        <v>389</v>
      </c>
      <c r="E117" s="69" t="s">
        <v>390</v>
      </c>
      <c r="F117" s="8" t="s">
        <v>2327</v>
      </c>
      <c r="G117" s="8" t="s">
        <v>58</v>
      </c>
      <c r="H117" s="8" t="s">
        <v>352</v>
      </c>
      <c r="I117" s="9">
        <v>1</v>
      </c>
      <c r="J117" s="9" t="s">
        <v>8</v>
      </c>
      <c r="K117" s="9" t="s">
        <v>2408</v>
      </c>
      <c r="L117" s="283"/>
      <c r="M117" s="9" t="s">
        <v>10</v>
      </c>
      <c r="N117" s="9" t="s">
        <v>2410</v>
      </c>
      <c r="O117" s="281">
        <v>300</v>
      </c>
      <c r="P117" s="8" t="s">
        <v>2258</v>
      </c>
      <c r="Q117" s="282"/>
      <c r="R117" s="37"/>
      <c r="S117" s="9"/>
      <c r="T117" s="9"/>
      <c r="U117" s="9"/>
      <c r="V117" s="9"/>
      <c r="W117" s="9"/>
      <c r="X117" s="9"/>
      <c r="Y117" s="9"/>
      <c r="Z117" s="9"/>
      <c r="AA117" s="8"/>
    </row>
    <row r="118" spans="1:27" ht="56.25">
      <c r="A118" s="8" t="s">
        <v>53</v>
      </c>
      <c r="B118" s="29" t="s">
        <v>336</v>
      </c>
      <c r="C118" s="8" t="s">
        <v>337</v>
      </c>
      <c r="D118" s="8" t="s">
        <v>391</v>
      </c>
      <c r="E118" s="69" t="s">
        <v>392</v>
      </c>
      <c r="F118" s="8" t="s">
        <v>2327</v>
      </c>
      <c r="G118" s="8" t="s">
        <v>58</v>
      </c>
      <c r="H118" s="8" t="s">
        <v>352</v>
      </c>
      <c r="I118" s="9">
        <v>1</v>
      </c>
      <c r="J118" s="9" t="s">
        <v>8</v>
      </c>
      <c r="K118" s="9" t="s">
        <v>2408</v>
      </c>
      <c r="L118" s="283"/>
      <c r="M118" s="9" t="s">
        <v>10</v>
      </c>
      <c r="N118" s="9" t="s">
        <v>2410</v>
      </c>
      <c r="O118" s="281">
        <v>300</v>
      </c>
      <c r="P118" s="8" t="s">
        <v>2258</v>
      </c>
      <c r="Q118" s="282"/>
      <c r="R118" s="37"/>
      <c r="S118" s="9"/>
      <c r="T118" s="9"/>
      <c r="U118" s="9"/>
      <c r="V118" s="9"/>
      <c r="W118" s="9"/>
      <c r="X118" s="9"/>
      <c r="Y118" s="9"/>
      <c r="Z118" s="9"/>
      <c r="AA118" s="8"/>
    </row>
    <row r="119" spans="1:27" ht="56.25">
      <c r="A119" s="8" t="s">
        <v>53</v>
      </c>
      <c r="B119" s="29" t="s">
        <v>336</v>
      </c>
      <c r="C119" s="8" t="s">
        <v>337</v>
      </c>
      <c r="D119" s="8" t="s">
        <v>393</v>
      </c>
      <c r="E119" s="69" t="s">
        <v>394</v>
      </c>
      <c r="F119" s="8" t="s">
        <v>2327</v>
      </c>
      <c r="G119" s="8" t="s">
        <v>58</v>
      </c>
      <c r="H119" s="8" t="s">
        <v>352</v>
      </c>
      <c r="I119" s="9">
        <v>1</v>
      </c>
      <c r="J119" s="9" t="s">
        <v>8</v>
      </c>
      <c r="K119" s="9" t="s">
        <v>2408</v>
      </c>
      <c r="L119" s="283"/>
      <c r="M119" s="9" t="s">
        <v>10</v>
      </c>
      <c r="N119" s="9" t="s">
        <v>2410</v>
      </c>
      <c r="O119" s="281" t="s">
        <v>2412</v>
      </c>
      <c r="P119" s="8" t="s">
        <v>2258</v>
      </c>
      <c r="Q119" s="282"/>
      <c r="R119" s="37"/>
      <c r="S119" s="9"/>
      <c r="T119" s="9"/>
      <c r="U119" s="9"/>
      <c r="V119" s="9"/>
      <c r="W119" s="9"/>
      <c r="X119" s="9"/>
      <c r="Y119" s="9"/>
      <c r="Z119" s="9"/>
      <c r="AA119" s="8"/>
    </row>
    <row r="120" spans="1:27" ht="110.25">
      <c r="A120" s="8" t="s">
        <v>53</v>
      </c>
      <c r="B120" s="29" t="s">
        <v>336</v>
      </c>
      <c r="C120" s="8" t="s">
        <v>337</v>
      </c>
      <c r="D120" s="8" t="s">
        <v>395</v>
      </c>
      <c r="E120" s="69" t="s">
        <v>396</v>
      </c>
      <c r="F120" s="8" t="s">
        <v>2327</v>
      </c>
      <c r="G120" s="8" t="s">
        <v>58</v>
      </c>
      <c r="H120" s="8" t="s">
        <v>352</v>
      </c>
      <c r="I120" s="9">
        <v>1</v>
      </c>
      <c r="J120" s="9" t="s">
        <v>8</v>
      </c>
      <c r="K120" s="9" t="s">
        <v>2408</v>
      </c>
      <c r="L120" s="283"/>
      <c r="M120" s="9" t="s">
        <v>10</v>
      </c>
      <c r="N120" s="9" t="s">
        <v>2413</v>
      </c>
      <c r="O120" s="281">
        <v>300</v>
      </c>
      <c r="P120" s="8" t="s">
        <v>2258</v>
      </c>
      <c r="Q120" s="282"/>
      <c r="R120" s="37"/>
      <c r="S120" s="9"/>
      <c r="T120" s="9"/>
      <c r="U120" s="9"/>
      <c r="V120" s="9"/>
      <c r="W120" s="9"/>
      <c r="X120" s="9"/>
      <c r="Y120" s="9"/>
      <c r="Z120" s="9"/>
      <c r="AA120" s="8"/>
    </row>
    <row r="121" spans="1:27" ht="56.25">
      <c r="A121" s="8" t="s">
        <v>53</v>
      </c>
      <c r="B121" s="29" t="s">
        <v>336</v>
      </c>
      <c r="C121" s="8" t="s">
        <v>337</v>
      </c>
      <c r="D121" s="8" t="s">
        <v>397</v>
      </c>
      <c r="E121" s="69" t="s">
        <v>398</v>
      </c>
      <c r="F121" s="8" t="s">
        <v>2327</v>
      </c>
      <c r="G121" s="8" t="s">
        <v>58</v>
      </c>
      <c r="H121" s="8" t="s">
        <v>352</v>
      </c>
      <c r="I121" s="9">
        <v>1</v>
      </c>
      <c r="J121" s="9" t="s">
        <v>8</v>
      </c>
      <c r="K121" s="9" t="s">
        <v>2408</v>
      </c>
      <c r="L121" s="283"/>
      <c r="M121" s="9" t="s">
        <v>10</v>
      </c>
      <c r="N121" s="9" t="s">
        <v>2410</v>
      </c>
      <c r="O121" s="281">
        <v>300</v>
      </c>
      <c r="P121" s="8" t="s">
        <v>2258</v>
      </c>
      <c r="Q121" s="282"/>
      <c r="R121" s="37"/>
      <c r="S121" s="9"/>
      <c r="T121" s="9"/>
      <c r="U121" s="9"/>
      <c r="V121" s="9"/>
      <c r="W121" s="9"/>
      <c r="X121" s="9"/>
      <c r="Y121" s="9"/>
      <c r="Z121" s="9"/>
      <c r="AA121" s="8"/>
    </row>
    <row r="122" spans="1:27" ht="94.5">
      <c r="A122" s="8" t="s">
        <v>53</v>
      </c>
      <c r="B122" s="29" t="s">
        <v>336</v>
      </c>
      <c r="C122" s="8" t="s">
        <v>337</v>
      </c>
      <c r="D122" s="8" t="s">
        <v>399</v>
      </c>
      <c r="E122" s="69" t="s">
        <v>400</v>
      </c>
      <c r="F122" s="8" t="s">
        <v>2327</v>
      </c>
      <c r="G122" s="8" t="s">
        <v>58</v>
      </c>
      <c r="H122" s="8" t="s">
        <v>352</v>
      </c>
      <c r="I122" s="9">
        <v>1</v>
      </c>
      <c r="J122" s="9" t="s">
        <v>8</v>
      </c>
      <c r="K122" s="9" t="s">
        <v>2408</v>
      </c>
      <c r="L122" s="283"/>
      <c r="M122" s="9" t="s">
        <v>10</v>
      </c>
      <c r="N122" s="9" t="s">
        <v>2414</v>
      </c>
      <c r="O122" s="281">
        <v>300</v>
      </c>
      <c r="P122" s="8" t="s">
        <v>2258</v>
      </c>
      <c r="Q122" s="282"/>
      <c r="R122" s="37"/>
      <c r="S122" s="9"/>
      <c r="T122" s="9"/>
      <c r="U122" s="9"/>
      <c r="V122" s="9"/>
      <c r="W122" s="9"/>
      <c r="X122" s="9"/>
      <c r="Y122" s="9"/>
      <c r="Z122" s="9"/>
      <c r="AA122" s="8"/>
    </row>
    <row r="123" spans="1:27" ht="56.25">
      <c r="A123" s="8" t="s">
        <v>53</v>
      </c>
      <c r="B123" s="29" t="s">
        <v>336</v>
      </c>
      <c r="C123" s="8" t="s">
        <v>337</v>
      </c>
      <c r="D123" s="8" t="s">
        <v>401</v>
      </c>
      <c r="E123" s="69" t="s">
        <v>402</v>
      </c>
      <c r="F123" s="8" t="s">
        <v>2327</v>
      </c>
      <c r="G123" s="8" t="s">
        <v>58</v>
      </c>
      <c r="H123" s="8" t="s">
        <v>352</v>
      </c>
      <c r="I123" s="9">
        <v>1</v>
      </c>
      <c r="J123" s="9" t="s">
        <v>8</v>
      </c>
      <c r="K123" s="9" t="s">
        <v>2408</v>
      </c>
      <c r="L123" s="283"/>
      <c r="M123" s="9" t="s">
        <v>10</v>
      </c>
      <c r="N123" s="9" t="s">
        <v>2410</v>
      </c>
      <c r="O123" s="281">
        <v>300</v>
      </c>
      <c r="P123" s="8" t="s">
        <v>2258</v>
      </c>
      <c r="Q123" s="282"/>
      <c r="R123" s="37"/>
      <c r="S123" s="9"/>
      <c r="T123" s="9"/>
      <c r="U123" s="9"/>
      <c r="V123" s="9"/>
      <c r="W123" s="9"/>
      <c r="X123" s="9"/>
      <c r="Y123" s="9"/>
      <c r="Z123" s="9"/>
      <c r="AA123" s="8"/>
    </row>
    <row r="124" spans="1:27" ht="94.5">
      <c r="A124" s="8" t="s">
        <v>53</v>
      </c>
      <c r="B124" s="29" t="s">
        <v>336</v>
      </c>
      <c r="C124" s="8" t="s">
        <v>337</v>
      </c>
      <c r="D124" s="8" t="s">
        <v>403</v>
      </c>
      <c r="E124" s="69" t="s">
        <v>404</v>
      </c>
      <c r="F124" s="8" t="s">
        <v>2327</v>
      </c>
      <c r="G124" s="8" t="s">
        <v>58</v>
      </c>
      <c r="H124" s="8" t="s">
        <v>352</v>
      </c>
      <c r="I124" s="9">
        <v>1</v>
      </c>
      <c r="J124" s="9" t="s">
        <v>8</v>
      </c>
      <c r="K124" s="9" t="s">
        <v>2408</v>
      </c>
      <c r="L124" s="283"/>
      <c r="M124" s="9" t="s">
        <v>10</v>
      </c>
      <c r="N124" s="9" t="s">
        <v>2411</v>
      </c>
      <c r="O124" s="281">
        <v>600</v>
      </c>
      <c r="P124" s="8" t="s">
        <v>2258</v>
      </c>
      <c r="Q124" s="282"/>
      <c r="R124" s="37"/>
      <c r="S124" s="9"/>
      <c r="T124" s="9"/>
      <c r="U124" s="9"/>
      <c r="V124" s="9"/>
      <c r="W124" s="9"/>
      <c r="X124" s="9"/>
      <c r="Y124" s="9"/>
      <c r="Z124" s="9"/>
      <c r="AA124" s="8"/>
    </row>
    <row r="125" spans="1:27" ht="56.25">
      <c r="A125" s="8" t="s">
        <v>53</v>
      </c>
      <c r="B125" s="29" t="s">
        <v>336</v>
      </c>
      <c r="C125" s="8" t="s">
        <v>337</v>
      </c>
      <c r="D125" s="8" t="s">
        <v>405</v>
      </c>
      <c r="E125" s="69" t="s">
        <v>406</v>
      </c>
      <c r="F125" s="8"/>
      <c r="G125" s="8" t="s">
        <v>58</v>
      </c>
      <c r="H125" s="8" t="s">
        <v>352</v>
      </c>
      <c r="I125" s="9">
        <v>1</v>
      </c>
      <c r="J125" s="9" t="s">
        <v>8</v>
      </c>
      <c r="K125" s="9" t="s">
        <v>2415</v>
      </c>
      <c r="L125" s="283"/>
      <c r="M125" s="9"/>
      <c r="N125" s="9"/>
      <c r="O125" s="281" t="s">
        <v>2412</v>
      </c>
      <c r="P125" s="8"/>
      <c r="Q125" s="282"/>
      <c r="R125" s="37"/>
      <c r="S125" s="9"/>
      <c r="T125" s="9"/>
      <c r="U125" s="9"/>
      <c r="V125" s="9"/>
      <c r="W125" s="9"/>
      <c r="X125" s="9"/>
      <c r="Y125" s="9"/>
      <c r="Z125" s="9"/>
      <c r="AA125" s="8"/>
    </row>
    <row r="126" spans="1:27" ht="110.25">
      <c r="A126" s="8" t="s">
        <v>53</v>
      </c>
      <c r="B126" s="29" t="s">
        <v>336</v>
      </c>
      <c r="C126" s="8" t="s">
        <v>337</v>
      </c>
      <c r="D126" s="8" t="s">
        <v>407</v>
      </c>
      <c r="E126" s="69" t="s">
        <v>408</v>
      </c>
      <c r="F126" s="8" t="s">
        <v>2327</v>
      </c>
      <c r="G126" s="8" t="s">
        <v>58</v>
      </c>
      <c r="H126" s="8" t="s">
        <v>352</v>
      </c>
      <c r="I126" s="9">
        <v>1</v>
      </c>
      <c r="J126" s="9" t="s">
        <v>8</v>
      </c>
      <c r="K126" s="9" t="s">
        <v>2416</v>
      </c>
      <c r="L126" s="283"/>
      <c r="M126" s="9" t="s">
        <v>10</v>
      </c>
      <c r="N126" s="9" t="s">
        <v>2417</v>
      </c>
      <c r="O126" s="281">
        <v>400</v>
      </c>
      <c r="P126" s="8" t="s">
        <v>2407</v>
      </c>
      <c r="Q126" s="282"/>
      <c r="R126" s="37"/>
      <c r="S126" s="9"/>
      <c r="T126" s="9"/>
      <c r="U126" s="9"/>
      <c r="V126" s="9"/>
      <c r="W126" s="9"/>
      <c r="X126" s="9"/>
      <c r="Y126" s="9"/>
      <c r="Z126" s="9"/>
      <c r="AA126" s="8"/>
    </row>
    <row r="127" spans="1:27" ht="94.5">
      <c r="A127" s="8" t="s">
        <v>53</v>
      </c>
      <c r="B127" s="29" t="s">
        <v>336</v>
      </c>
      <c r="C127" s="8" t="s">
        <v>337</v>
      </c>
      <c r="D127" s="8" t="s">
        <v>409</v>
      </c>
      <c r="E127" s="69" t="s">
        <v>410</v>
      </c>
      <c r="F127" s="8" t="s">
        <v>2327</v>
      </c>
      <c r="G127" s="8" t="s">
        <v>58</v>
      </c>
      <c r="H127" s="8" t="s">
        <v>352</v>
      </c>
      <c r="I127" s="9">
        <v>1</v>
      </c>
      <c r="J127" s="9" t="s">
        <v>8</v>
      </c>
      <c r="K127" s="9" t="s">
        <v>2408</v>
      </c>
      <c r="L127" s="283"/>
      <c r="M127" s="9" t="s">
        <v>10</v>
      </c>
      <c r="N127" s="9" t="s">
        <v>2411</v>
      </c>
      <c r="O127" s="281" t="s">
        <v>2303</v>
      </c>
      <c r="P127" s="8" t="s">
        <v>2258</v>
      </c>
      <c r="Q127" s="282"/>
      <c r="R127" s="37"/>
      <c r="S127" s="9"/>
      <c r="T127" s="9"/>
      <c r="U127" s="9"/>
      <c r="V127" s="9"/>
      <c r="W127" s="9"/>
      <c r="X127" s="9"/>
      <c r="Y127" s="9"/>
      <c r="Z127" s="9"/>
      <c r="AA127" s="8"/>
    </row>
    <row r="128" spans="1:27" ht="56.25">
      <c r="A128" s="8" t="s">
        <v>53</v>
      </c>
      <c r="B128" s="29" t="s">
        <v>336</v>
      </c>
      <c r="C128" s="8" t="s">
        <v>337</v>
      </c>
      <c r="D128" s="8" t="s">
        <v>411</v>
      </c>
      <c r="E128" s="69" t="s">
        <v>412</v>
      </c>
      <c r="F128" s="8" t="s">
        <v>2327</v>
      </c>
      <c r="G128" s="8" t="s">
        <v>58</v>
      </c>
      <c r="H128" s="8" t="s">
        <v>352</v>
      </c>
      <c r="I128" s="9">
        <v>1</v>
      </c>
      <c r="J128" s="9" t="s">
        <v>8</v>
      </c>
      <c r="K128" s="9" t="s">
        <v>2418</v>
      </c>
      <c r="L128" s="283" t="s">
        <v>2273</v>
      </c>
      <c r="M128" s="9" t="s">
        <v>10</v>
      </c>
      <c r="N128" s="9" t="s">
        <v>2418</v>
      </c>
      <c r="O128" s="281" t="s">
        <v>2303</v>
      </c>
      <c r="P128" s="8" t="s">
        <v>2258</v>
      </c>
      <c r="Q128" s="282"/>
      <c r="R128" s="37"/>
      <c r="S128" s="9"/>
      <c r="T128" s="9"/>
      <c r="U128" s="9"/>
      <c r="V128" s="9"/>
      <c r="W128" s="9"/>
      <c r="X128" s="9"/>
      <c r="Y128" s="9"/>
      <c r="Z128" s="9"/>
      <c r="AA128" s="8"/>
    </row>
    <row r="129" spans="1:27" ht="345.75" customHeight="1">
      <c r="A129" s="8" t="s">
        <v>53</v>
      </c>
      <c r="B129" s="29" t="s">
        <v>336</v>
      </c>
      <c r="C129" s="8" t="s">
        <v>413</v>
      </c>
      <c r="D129" s="8" t="s">
        <v>414</v>
      </c>
      <c r="E129" s="8" t="s">
        <v>415</v>
      </c>
      <c r="F129" s="8" t="s">
        <v>2327</v>
      </c>
      <c r="G129" s="8" t="s">
        <v>62</v>
      </c>
      <c r="H129" s="8" t="s">
        <v>416</v>
      </c>
      <c r="I129" s="8">
        <v>6</v>
      </c>
      <c r="J129" s="8" t="s">
        <v>8</v>
      </c>
      <c r="K129" s="8" t="s">
        <v>2419</v>
      </c>
      <c r="L129" s="283" t="s">
        <v>2273</v>
      </c>
      <c r="M129" s="8" t="s">
        <v>10</v>
      </c>
      <c r="N129" s="8" t="s">
        <v>2420</v>
      </c>
      <c r="O129" s="281" t="s">
        <v>2303</v>
      </c>
      <c r="P129" s="8" t="s">
        <v>2421</v>
      </c>
      <c r="Q129" s="132"/>
      <c r="R129" s="38"/>
      <c r="S129" s="8"/>
      <c r="T129" s="8"/>
      <c r="U129" s="8"/>
      <c r="V129" s="8"/>
      <c r="W129" s="8"/>
      <c r="X129" s="8"/>
      <c r="Y129" s="8"/>
      <c r="Z129" s="8"/>
      <c r="AA129" s="8"/>
    </row>
    <row r="130" spans="1:27" ht="141.75">
      <c r="A130" s="8" t="s">
        <v>53</v>
      </c>
      <c r="B130" s="29" t="s">
        <v>336</v>
      </c>
      <c r="C130" s="8" t="s">
        <v>413</v>
      </c>
      <c r="D130" s="8" t="s">
        <v>417</v>
      </c>
      <c r="E130" s="8" t="s">
        <v>418</v>
      </c>
      <c r="F130" s="8" t="s">
        <v>2327</v>
      </c>
      <c r="G130" s="8" t="s">
        <v>62</v>
      </c>
      <c r="H130" s="8" t="s">
        <v>419</v>
      </c>
      <c r="I130" s="8" t="s">
        <v>420</v>
      </c>
      <c r="J130" s="8" t="s">
        <v>8</v>
      </c>
      <c r="K130" s="8" t="s">
        <v>2422</v>
      </c>
      <c r="L130" s="283" t="s">
        <v>2273</v>
      </c>
      <c r="M130" s="8" t="s">
        <v>9</v>
      </c>
      <c r="N130" s="8" t="s">
        <v>2423</v>
      </c>
      <c r="O130" s="281" t="s">
        <v>2303</v>
      </c>
      <c r="P130" s="8" t="s">
        <v>2424</v>
      </c>
      <c r="Q130" s="132"/>
      <c r="R130" s="38"/>
      <c r="S130" s="8"/>
      <c r="T130" s="8"/>
      <c r="U130" s="8"/>
      <c r="V130" s="8"/>
      <c r="W130" s="8"/>
      <c r="X130" s="8"/>
      <c r="Y130" s="8"/>
      <c r="Z130" s="8"/>
      <c r="AA130" s="8"/>
    </row>
    <row r="131" spans="1:27" ht="63">
      <c r="A131" s="8" t="s">
        <v>53</v>
      </c>
      <c r="B131" s="29" t="s">
        <v>336</v>
      </c>
      <c r="C131" s="8" t="s">
        <v>413</v>
      </c>
      <c r="D131" s="8" t="s">
        <v>421</v>
      </c>
      <c r="E131" s="8" t="s">
        <v>422</v>
      </c>
      <c r="F131" s="20"/>
      <c r="G131" s="20" t="s">
        <v>58</v>
      </c>
      <c r="H131" s="20"/>
      <c r="I131" s="22"/>
      <c r="J131" s="20"/>
      <c r="K131" s="20"/>
      <c r="L131" s="278"/>
      <c r="M131" s="20"/>
      <c r="N131" s="20"/>
      <c r="O131" s="279"/>
      <c r="P131" s="20"/>
      <c r="Q131" s="132"/>
      <c r="R131" s="39"/>
      <c r="S131" s="20"/>
      <c r="T131" s="20"/>
      <c r="U131" s="20"/>
      <c r="V131" s="20"/>
      <c r="W131" s="20"/>
      <c r="X131" s="20"/>
      <c r="Y131" s="20"/>
      <c r="Z131" s="20"/>
      <c r="AA131" s="20"/>
    </row>
    <row r="132" spans="1:27" ht="126">
      <c r="A132" s="8" t="s">
        <v>53</v>
      </c>
      <c r="B132" s="29" t="s">
        <v>336</v>
      </c>
      <c r="C132" s="8" t="s">
        <v>413</v>
      </c>
      <c r="D132" s="8" t="s">
        <v>423</v>
      </c>
      <c r="E132" s="69" t="s">
        <v>424</v>
      </c>
      <c r="F132" s="8" t="s">
        <v>2327</v>
      </c>
      <c r="G132" s="8" t="s">
        <v>58</v>
      </c>
      <c r="H132" s="8" t="s">
        <v>425</v>
      </c>
      <c r="I132" s="8" t="s">
        <v>210</v>
      </c>
      <c r="J132" s="8" t="s">
        <v>8</v>
      </c>
      <c r="K132" s="8" t="s">
        <v>2425</v>
      </c>
      <c r="L132" s="283" t="s">
        <v>1380</v>
      </c>
      <c r="M132" s="8"/>
      <c r="N132" s="8"/>
      <c r="O132" s="281">
        <v>12000</v>
      </c>
      <c r="P132" s="8" t="s">
        <v>2426</v>
      </c>
      <c r="Q132" s="132"/>
      <c r="R132" s="38"/>
      <c r="S132" s="8"/>
      <c r="T132" s="8"/>
      <c r="U132" s="8"/>
      <c r="V132" s="8"/>
      <c r="W132" s="8"/>
      <c r="X132" s="8"/>
      <c r="Y132" s="8"/>
      <c r="Z132" s="8"/>
      <c r="AA132" s="8"/>
    </row>
    <row r="133" spans="1:27" ht="63">
      <c r="A133" s="8" t="s">
        <v>53</v>
      </c>
      <c r="B133" s="29" t="s">
        <v>336</v>
      </c>
      <c r="C133" s="8" t="s">
        <v>413</v>
      </c>
      <c r="D133" s="8" t="s">
        <v>426</v>
      </c>
      <c r="E133" s="69" t="s">
        <v>427</v>
      </c>
      <c r="F133" s="8" t="s">
        <v>2327</v>
      </c>
      <c r="G133" s="8" t="s">
        <v>58</v>
      </c>
      <c r="H133" s="8" t="s">
        <v>428</v>
      </c>
      <c r="I133" s="8" t="s">
        <v>210</v>
      </c>
      <c r="J133" s="8" t="s">
        <v>8</v>
      </c>
      <c r="K133" s="8" t="s">
        <v>2427</v>
      </c>
      <c r="L133" s="283" t="s">
        <v>2387</v>
      </c>
      <c r="M133" s="8" t="s">
        <v>10</v>
      </c>
      <c r="N133" s="8" t="s">
        <v>2428</v>
      </c>
      <c r="O133" s="281" t="s">
        <v>2303</v>
      </c>
      <c r="P133" s="8" t="s">
        <v>2424</v>
      </c>
      <c r="Q133" s="132"/>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283"/>
      <c r="M134" s="8"/>
      <c r="N134" s="8"/>
      <c r="O134" s="281"/>
      <c r="P134" s="8"/>
      <c r="Q134" s="132"/>
      <c r="R134" s="38"/>
      <c r="S134" s="8"/>
      <c r="T134" s="8"/>
      <c r="U134" s="8"/>
      <c r="V134" s="8"/>
      <c r="W134" s="8"/>
      <c r="X134" s="8"/>
      <c r="Y134" s="8"/>
      <c r="Z134" s="8"/>
      <c r="AA134" s="8"/>
    </row>
    <row r="135" spans="1:27" ht="78.75">
      <c r="A135" s="8" t="s">
        <v>53</v>
      </c>
      <c r="B135" s="29" t="s">
        <v>336</v>
      </c>
      <c r="C135" s="8" t="s">
        <v>429</v>
      </c>
      <c r="D135" s="8" t="s">
        <v>433</v>
      </c>
      <c r="E135" s="8" t="s">
        <v>434</v>
      </c>
      <c r="F135" s="20"/>
      <c r="G135" s="20" t="s">
        <v>58</v>
      </c>
      <c r="H135" s="20" t="s">
        <v>435</v>
      </c>
      <c r="I135" s="22" t="s">
        <v>210</v>
      </c>
      <c r="J135" s="20"/>
      <c r="K135" s="20"/>
      <c r="L135" s="278"/>
      <c r="M135" s="20"/>
      <c r="N135" s="20"/>
      <c r="O135" s="279"/>
      <c r="P135" s="20"/>
      <c r="Q135" s="132"/>
      <c r="R135" s="39"/>
      <c r="S135" s="20"/>
      <c r="T135" s="20"/>
      <c r="U135" s="20"/>
      <c r="V135" s="20"/>
      <c r="W135" s="20"/>
      <c r="X135" s="20"/>
      <c r="Y135" s="20"/>
      <c r="Z135" s="20"/>
      <c r="AA135" s="20"/>
    </row>
    <row r="136" spans="1:27" ht="126">
      <c r="A136" s="8" t="s">
        <v>53</v>
      </c>
      <c r="B136" s="29" t="s">
        <v>336</v>
      </c>
      <c r="C136" s="8" t="s">
        <v>429</v>
      </c>
      <c r="D136" s="8" t="s">
        <v>436</v>
      </c>
      <c r="E136" s="69" t="s">
        <v>437</v>
      </c>
      <c r="F136" s="8" t="s">
        <v>2327</v>
      </c>
      <c r="G136" s="8" t="s">
        <v>58</v>
      </c>
      <c r="H136" s="8" t="s">
        <v>435</v>
      </c>
      <c r="I136" s="8" t="s">
        <v>210</v>
      </c>
      <c r="J136" s="8" t="s">
        <v>8</v>
      </c>
      <c r="K136" s="8" t="s">
        <v>2254</v>
      </c>
      <c r="L136" s="283" t="s">
        <v>1380</v>
      </c>
      <c r="M136" s="8" t="s">
        <v>10</v>
      </c>
      <c r="N136" s="8" t="s">
        <v>2429</v>
      </c>
      <c r="O136" s="281" t="s">
        <v>2303</v>
      </c>
      <c r="P136" s="8" t="s">
        <v>2424</v>
      </c>
      <c r="Q136" s="132"/>
      <c r="R136" s="38"/>
      <c r="S136" s="8"/>
      <c r="T136" s="8"/>
      <c r="U136" s="8"/>
      <c r="V136" s="8"/>
      <c r="W136" s="8"/>
      <c r="X136" s="8"/>
      <c r="Y136" s="8"/>
      <c r="Z136" s="8"/>
      <c r="AA136" s="8"/>
    </row>
    <row r="137" spans="1:27" ht="126">
      <c r="A137" s="8" t="s">
        <v>53</v>
      </c>
      <c r="B137" s="29" t="s">
        <v>336</v>
      </c>
      <c r="C137" s="8" t="s">
        <v>429</v>
      </c>
      <c r="D137" s="8" t="s">
        <v>438</v>
      </c>
      <c r="E137" s="69" t="s">
        <v>439</v>
      </c>
      <c r="F137" s="8" t="s">
        <v>2327</v>
      </c>
      <c r="G137" s="8" t="s">
        <v>58</v>
      </c>
      <c r="H137" s="8" t="s">
        <v>435</v>
      </c>
      <c r="I137" s="8" t="s">
        <v>210</v>
      </c>
      <c r="J137" s="8" t="s">
        <v>8</v>
      </c>
      <c r="K137" s="8" t="s">
        <v>2254</v>
      </c>
      <c r="L137" s="283" t="s">
        <v>1380</v>
      </c>
      <c r="M137" s="8" t="s">
        <v>10</v>
      </c>
      <c r="N137" s="8" t="s">
        <v>2258</v>
      </c>
      <c r="O137" s="281" t="s">
        <v>2303</v>
      </c>
      <c r="P137" s="8" t="s">
        <v>2424</v>
      </c>
      <c r="Q137" s="132"/>
      <c r="R137" s="38"/>
      <c r="S137" s="8"/>
      <c r="T137" s="8"/>
      <c r="U137" s="8"/>
      <c r="V137" s="8"/>
      <c r="W137" s="8"/>
      <c r="X137" s="8"/>
      <c r="Y137" s="8"/>
      <c r="Z137" s="8"/>
      <c r="AA137" s="8"/>
    </row>
    <row r="138" spans="1:27" ht="126">
      <c r="A138" s="8" t="s">
        <v>53</v>
      </c>
      <c r="B138" s="29" t="s">
        <v>336</v>
      </c>
      <c r="C138" s="8" t="s">
        <v>429</v>
      </c>
      <c r="D138" s="8" t="s">
        <v>440</v>
      </c>
      <c r="E138" s="69" t="s">
        <v>441</v>
      </c>
      <c r="F138" s="8" t="s">
        <v>2327</v>
      </c>
      <c r="G138" s="8" t="s">
        <v>58</v>
      </c>
      <c r="H138" s="8" t="s">
        <v>435</v>
      </c>
      <c r="I138" s="8" t="s">
        <v>210</v>
      </c>
      <c r="J138" s="8" t="s">
        <v>8</v>
      </c>
      <c r="K138" s="8" t="s">
        <v>2254</v>
      </c>
      <c r="L138" s="283" t="s">
        <v>1380</v>
      </c>
      <c r="M138" s="8" t="s">
        <v>10</v>
      </c>
      <c r="N138" s="8" t="s">
        <v>2258</v>
      </c>
      <c r="O138" s="281" t="s">
        <v>2303</v>
      </c>
      <c r="P138" s="8" t="s">
        <v>2424</v>
      </c>
      <c r="Q138" s="132"/>
      <c r="R138" s="38"/>
      <c r="S138" s="8"/>
      <c r="T138" s="8"/>
      <c r="U138" s="8"/>
      <c r="V138" s="8"/>
      <c r="W138" s="8"/>
      <c r="X138" s="8"/>
      <c r="Y138" s="8"/>
      <c r="Z138" s="8"/>
      <c r="AA138" s="8"/>
    </row>
    <row r="139" spans="1:27" ht="126">
      <c r="A139" s="8" t="s">
        <v>53</v>
      </c>
      <c r="B139" s="29" t="s">
        <v>336</v>
      </c>
      <c r="C139" s="8" t="s">
        <v>429</v>
      </c>
      <c r="D139" s="8" t="s">
        <v>442</v>
      </c>
      <c r="E139" s="69" t="s">
        <v>443</v>
      </c>
      <c r="F139" s="8" t="s">
        <v>2327</v>
      </c>
      <c r="G139" s="8" t="s">
        <v>58</v>
      </c>
      <c r="H139" s="8" t="s">
        <v>435</v>
      </c>
      <c r="I139" s="8" t="s">
        <v>210</v>
      </c>
      <c r="J139" s="8" t="s">
        <v>8</v>
      </c>
      <c r="K139" s="8" t="s">
        <v>2254</v>
      </c>
      <c r="L139" s="283" t="s">
        <v>1380</v>
      </c>
      <c r="M139" s="8" t="s">
        <v>10</v>
      </c>
      <c r="N139" s="8" t="s">
        <v>2258</v>
      </c>
      <c r="O139" s="281" t="s">
        <v>2303</v>
      </c>
      <c r="P139" s="8" t="s">
        <v>2424</v>
      </c>
      <c r="Q139" s="132"/>
      <c r="R139" s="38"/>
      <c r="S139" s="8"/>
      <c r="T139" s="8"/>
      <c r="U139" s="8"/>
      <c r="V139" s="8"/>
      <c r="W139" s="8"/>
      <c r="X139" s="8"/>
      <c r="Y139" s="8"/>
      <c r="Z139" s="8"/>
      <c r="AA139" s="8"/>
    </row>
    <row r="140" spans="1:27" ht="126">
      <c r="A140" s="8" t="s">
        <v>53</v>
      </c>
      <c r="B140" s="29" t="s">
        <v>336</v>
      </c>
      <c r="C140" s="8" t="s">
        <v>429</v>
      </c>
      <c r="D140" s="8" t="s">
        <v>444</v>
      </c>
      <c r="E140" s="69" t="s">
        <v>445</v>
      </c>
      <c r="F140" s="8" t="s">
        <v>2327</v>
      </c>
      <c r="G140" s="8" t="s">
        <v>58</v>
      </c>
      <c r="H140" s="8" t="s">
        <v>435</v>
      </c>
      <c r="I140" s="8" t="s">
        <v>210</v>
      </c>
      <c r="J140" s="8" t="s">
        <v>8</v>
      </c>
      <c r="K140" s="8" t="s">
        <v>2254</v>
      </c>
      <c r="L140" s="283" t="s">
        <v>1380</v>
      </c>
      <c r="M140" s="8" t="s">
        <v>10</v>
      </c>
      <c r="N140" s="8" t="s">
        <v>2258</v>
      </c>
      <c r="O140" s="281" t="s">
        <v>2303</v>
      </c>
      <c r="P140" s="8" t="s">
        <v>2424</v>
      </c>
      <c r="Q140" s="132"/>
      <c r="R140" s="38"/>
      <c r="S140" s="8"/>
      <c r="T140" s="8"/>
      <c r="U140" s="8"/>
      <c r="V140" s="8"/>
      <c r="W140" s="8"/>
      <c r="X140" s="8"/>
      <c r="Y140" s="8"/>
      <c r="Z140" s="8"/>
      <c r="AA140" s="8"/>
    </row>
    <row r="141" spans="1:27" ht="110.25">
      <c r="A141" s="8" t="s">
        <v>53</v>
      </c>
      <c r="B141" s="29" t="s">
        <v>336</v>
      </c>
      <c r="C141" s="8" t="s">
        <v>429</v>
      </c>
      <c r="D141" s="8" t="s">
        <v>446</v>
      </c>
      <c r="E141" s="69" t="s">
        <v>447</v>
      </c>
      <c r="F141" s="8" t="s">
        <v>2259</v>
      </c>
      <c r="G141" s="8" t="s">
        <v>58</v>
      </c>
      <c r="H141" s="8" t="s">
        <v>435</v>
      </c>
      <c r="I141" s="8" t="s">
        <v>210</v>
      </c>
      <c r="J141" s="8" t="s">
        <v>8</v>
      </c>
      <c r="K141" s="8" t="s">
        <v>2430</v>
      </c>
      <c r="L141" s="283" t="s">
        <v>1380</v>
      </c>
      <c r="M141" s="8" t="s">
        <v>10</v>
      </c>
      <c r="N141" s="8" t="s">
        <v>2258</v>
      </c>
      <c r="O141" s="281" t="s">
        <v>2303</v>
      </c>
      <c r="P141" s="8" t="s">
        <v>2424</v>
      </c>
      <c r="Q141" s="132"/>
      <c r="R141" s="38"/>
      <c r="S141" s="8"/>
      <c r="T141" s="8"/>
      <c r="U141" s="8"/>
      <c r="V141" s="8"/>
      <c r="W141" s="8"/>
      <c r="X141" s="8"/>
      <c r="Y141" s="8"/>
      <c r="Z141" s="8"/>
      <c r="AA141" s="8"/>
    </row>
    <row r="142" spans="1:27" ht="78.75">
      <c r="A142" s="8" t="s">
        <v>53</v>
      </c>
      <c r="B142" s="29" t="s">
        <v>336</v>
      </c>
      <c r="C142" s="8" t="s">
        <v>429</v>
      </c>
      <c r="D142" s="8" t="s">
        <v>448</v>
      </c>
      <c r="E142" s="8" t="s">
        <v>449</v>
      </c>
      <c r="F142" s="20"/>
      <c r="G142" s="20" t="s">
        <v>58</v>
      </c>
      <c r="H142" s="20" t="s">
        <v>450</v>
      </c>
      <c r="I142" s="22" t="s">
        <v>210</v>
      </c>
      <c r="J142" s="20"/>
      <c r="K142" s="20"/>
      <c r="L142" s="278"/>
      <c r="M142" s="20"/>
      <c r="N142" s="20"/>
      <c r="O142" s="279"/>
      <c r="P142" s="20"/>
      <c r="Q142" s="132"/>
      <c r="R142" s="39"/>
      <c r="S142" s="20"/>
      <c r="T142" s="20"/>
      <c r="U142" s="20"/>
      <c r="V142" s="20"/>
      <c r="W142" s="20"/>
      <c r="X142" s="20"/>
      <c r="Y142" s="20"/>
      <c r="Z142" s="20"/>
      <c r="AA142" s="20"/>
    </row>
    <row r="143" spans="1:27" ht="110.25">
      <c r="A143" s="8" t="s">
        <v>53</v>
      </c>
      <c r="B143" s="29" t="s">
        <v>336</v>
      </c>
      <c r="C143" s="8" t="s">
        <v>429</v>
      </c>
      <c r="D143" s="8" t="s">
        <v>451</v>
      </c>
      <c r="E143" s="69" t="s">
        <v>452</v>
      </c>
      <c r="F143" s="8" t="s">
        <v>2259</v>
      </c>
      <c r="G143" s="8" t="s">
        <v>58</v>
      </c>
      <c r="H143" s="8" t="s">
        <v>450</v>
      </c>
      <c r="I143" s="8" t="s">
        <v>210</v>
      </c>
      <c r="J143" s="8" t="s">
        <v>8</v>
      </c>
      <c r="K143" s="8" t="s">
        <v>2431</v>
      </c>
      <c r="L143" s="283" t="s">
        <v>2387</v>
      </c>
      <c r="M143" s="8"/>
      <c r="N143" s="8"/>
      <c r="O143" s="281" t="s">
        <v>2303</v>
      </c>
      <c r="P143" s="8" t="s">
        <v>2432</v>
      </c>
      <c r="Q143" s="132"/>
      <c r="R143" s="38"/>
      <c r="S143" s="8"/>
      <c r="T143" s="8"/>
      <c r="U143" s="8"/>
      <c r="V143" s="8"/>
      <c r="W143" s="8"/>
      <c r="X143" s="8"/>
      <c r="Y143" s="8"/>
      <c r="Z143" s="8"/>
      <c r="AA143" s="8"/>
    </row>
    <row r="144" spans="1:27" ht="141.75">
      <c r="A144" s="8" t="s">
        <v>53</v>
      </c>
      <c r="B144" s="29" t="s">
        <v>336</v>
      </c>
      <c r="C144" s="8" t="s">
        <v>429</v>
      </c>
      <c r="D144" s="8" t="s">
        <v>453</v>
      </c>
      <c r="E144" s="69" t="s">
        <v>454</v>
      </c>
      <c r="F144" s="8" t="s">
        <v>2259</v>
      </c>
      <c r="G144" s="8" t="s">
        <v>58</v>
      </c>
      <c r="H144" s="8" t="s">
        <v>450</v>
      </c>
      <c r="I144" s="8" t="s">
        <v>210</v>
      </c>
      <c r="J144" s="8" t="s">
        <v>8</v>
      </c>
      <c r="K144" s="8" t="s">
        <v>2431</v>
      </c>
      <c r="L144" s="283" t="s">
        <v>2387</v>
      </c>
      <c r="M144" s="8"/>
      <c r="N144" s="8"/>
      <c r="O144" s="281" t="s">
        <v>2303</v>
      </c>
      <c r="P144" s="8" t="s">
        <v>2433</v>
      </c>
      <c r="Q144" s="132"/>
      <c r="R144" s="38"/>
      <c r="S144" s="8"/>
      <c r="T144" s="8"/>
      <c r="U144" s="8"/>
      <c r="V144" s="8"/>
      <c r="W144" s="8"/>
      <c r="X144" s="8"/>
      <c r="Y144" s="8"/>
      <c r="Z144" s="8"/>
      <c r="AA144" s="8"/>
    </row>
    <row r="145" spans="1:27" ht="173.25">
      <c r="A145" s="8" t="s">
        <v>53</v>
      </c>
      <c r="B145" s="29" t="s">
        <v>336</v>
      </c>
      <c r="C145" s="8" t="s">
        <v>429</v>
      </c>
      <c r="D145" s="8" t="s">
        <v>455</v>
      </c>
      <c r="E145" s="69" t="s">
        <v>456</v>
      </c>
      <c r="F145" s="8" t="s">
        <v>2259</v>
      </c>
      <c r="G145" s="8" t="s">
        <v>58</v>
      </c>
      <c r="H145" s="8" t="s">
        <v>450</v>
      </c>
      <c r="I145" s="8" t="s">
        <v>210</v>
      </c>
      <c r="J145" s="8" t="s">
        <v>8</v>
      </c>
      <c r="K145" s="8" t="s">
        <v>2434</v>
      </c>
      <c r="L145" s="283" t="s">
        <v>2387</v>
      </c>
      <c r="M145" s="8"/>
      <c r="N145" s="8"/>
      <c r="O145" s="281" t="s">
        <v>2303</v>
      </c>
      <c r="P145" s="8" t="s">
        <v>2258</v>
      </c>
      <c r="Q145" s="132"/>
      <c r="R145" s="38"/>
      <c r="S145" s="8"/>
      <c r="T145" s="8"/>
      <c r="U145" s="8"/>
      <c r="V145" s="8"/>
      <c r="W145" s="8"/>
      <c r="X145" s="8"/>
      <c r="Y145" s="8"/>
      <c r="Z145" s="8"/>
      <c r="AA145" s="8"/>
    </row>
    <row r="146" spans="1:27" ht="126">
      <c r="A146" s="8" t="s">
        <v>53</v>
      </c>
      <c r="B146" s="29" t="s">
        <v>336</v>
      </c>
      <c r="C146" s="8" t="s">
        <v>429</v>
      </c>
      <c r="D146" s="8" t="s">
        <v>457</v>
      </c>
      <c r="E146" s="69" t="s">
        <v>458</v>
      </c>
      <c r="F146" s="8" t="s">
        <v>2259</v>
      </c>
      <c r="G146" s="8" t="s">
        <v>58</v>
      </c>
      <c r="H146" s="8" t="s">
        <v>450</v>
      </c>
      <c r="I146" s="8" t="s">
        <v>210</v>
      </c>
      <c r="J146" s="8" t="s">
        <v>8</v>
      </c>
      <c r="K146" s="8" t="s">
        <v>2254</v>
      </c>
      <c r="L146" s="283" t="s">
        <v>2387</v>
      </c>
      <c r="M146" s="8"/>
      <c r="N146" s="8"/>
      <c r="O146" s="281" t="s">
        <v>2303</v>
      </c>
      <c r="P146" s="8" t="s">
        <v>2435</v>
      </c>
      <c r="Q146" s="132"/>
      <c r="R146" s="38"/>
      <c r="S146" s="8"/>
      <c r="T146" s="8"/>
      <c r="U146" s="8"/>
      <c r="V146" s="8"/>
      <c r="W146" s="8"/>
      <c r="X146" s="8"/>
      <c r="Y146" s="8"/>
      <c r="Z146" s="8"/>
      <c r="AA146" s="8"/>
    </row>
    <row r="147" spans="1:27" ht="110.25">
      <c r="A147" s="8" t="s">
        <v>53</v>
      </c>
      <c r="B147" s="29" t="s">
        <v>336</v>
      </c>
      <c r="C147" s="8" t="s">
        <v>429</v>
      </c>
      <c r="D147" s="8" t="s">
        <v>459</v>
      </c>
      <c r="E147" s="69" t="s">
        <v>460</v>
      </c>
      <c r="F147" s="8" t="s">
        <v>2259</v>
      </c>
      <c r="G147" s="8" t="s">
        <v>58</v>
      </c>
      <c r="H147" s="8" t="s">
        <v>450</v>
      </c>
      <c r="I147" s="8" t="s">
        <v>210</v>
      </c>
      <c r="J147" s="8"/>
      <c r="K147" s="8" t="s">
        <v>2431</v>
      </c>
      <c r="L147" s="283" t="s">
        <v>2387</v>
      </c>
      <c r="M147" s="8"/>
      <c r="N147" s="8"/>
      <c r="O147" s="281" t="s">
        <v>2303</v>
      </c>
      <c r="P147" s="8" t="s">
        <v>2436</v>
      </c>
      <c r="Q147" s="132"/>
      <c r="R147" s="38"/>
      <c r="S147" s="8"/>
      <c r="T147" s="8"/>
      <c r="U147" s="8"/>
      <c r="V147" s="8"/>
      <c r="W147" s="8"/>
      <c r="X147" s="8"/>
      <c r="Y147" s="8"/>
      <c r="Z147" s="8"/>
      <c r="AA147" s="8"/>
    </row>
    <row r="148" spans="1:27" ht="141.75">
      <c r="A148" s="8" t="s">
        <v>53</v>
      </c>
      <c r="B148" s="29" t="s">
        <v>336</v>
      </c>
      <c r="C148" s="8" t="s">
        <v>429</v>
      </c>
      <c r="D148" s="8" t="s">
        <v>461</v>
      </c>
      <c r="E148" s="69" t="s">
        <v>462</v>
      </c>
      <c r="F148" s="8" t="s">
        <v>2259</v>
      </c>
      <c r="G148" s="8" t="s">
        <v>58</v>
      </c>
      <c r="H148" s="8" t="s">
        <v>450</v>
      </c>
      <c r="I148" s="8" t="s">
        <v>210</v>
      </c>
      <c r="J148" s="8"/>
      <c r="K148" s="8" t="s">
        <v>2437</v>
      </c>
      <c r="L148" s="283" t="s">
        <v>2387</v>
      </c>
      <c r="M148" s="8"/>
      <c r="N148" s="8"/>
      <c r="O148" s="281" t="s">
        <v>2303</v>
      </c>
      <c r="P148" s="8" t="s">
        <v>2438</v>
      </c>
      <c r="Q148" s="132"/>
      <c r="R148" s="38"/>
      <c r="S148" s="8"/>
      <c r="T148" s="8"/>
      <c r="U148" s="8"/>
      <c r="V148" s="8"/>
      <c r="W148" s="8"/>
      <c r="X148" s="8"/>
      <c r="Y148" s="8"/>
      <c r="Z148" s="8"/>
      <c r="AA148" s="8"/>
    </row>
    <row r="149" spans="1:27" ht="173.25">
      <c r="A149" s="8" t="s">
        <v>53</v>
      </c>
      <c r="B149" s="29" t="s">
        <v>336</v>
      </c>
      <c r="C149" s="8" t="s">
        <v>429</v>
      </c>
      <c r="D149" s="8" t="s">
        <v>463</v>
      </c>
      <c r="E149" s="69" t="s">
        <v>464</v>
      </c>
      <c r="F149" s="8" t="s">
        <v>2327</v>
      </c>
      <c r="G149" s="8" t="s">
        <v>58</v>
      </c>
      <c r="H149" s="8" t="s">
        <v>450</v>
      </c>
      <c r="I149" s="8" t="s">
        <v>210</v>
      </c>
      <c r="J149" s="8" t="s">
        <v>8</v>
      </c>
      <c r="K149" s="8" t="s">
        <v>2439</v>
      </c>
      <c r="L149" s="283" t="s">
        <v>1380</v>
      </c>
      <c r="M149" s="8"/>
      <c r="N149" s="8"/>
      <c r="O149" s="281" t="s">
        <v>2303</v>
      </c>
      <c r="P149" s="8" t="s">
        <v>2440</v>
      </c>
      <c r="Q149" s="132"/>
      <c r="R149" s="38"/>
      <c r="S149" s="8"/>
      <c r="T149" s="8"/>
      <c r="U149" s="8"/>
      <c r="V149" s="8"/>
      <c r="W149" s="8"/>
      <c r="X149" s="8"/>
      <c r="Y149" s="8"/>
      <c r="Z149" s="8"/>
      <c r="AA149" s="8"/>
    </row>
    <row r="150" spans="1:27" ht="126">
      <c r="A150" s="8" t="s">
        <v>53</v>
      </c>
      <c r="B150" s="29" t="s">
        <v>336</v>
      </c>
      <c r="C150" s="8" t="s">
        <v>429</v>
      </c>
      <c r="D150" s="8" t="s">
        <v>465</v>
      </c>
      <c r="E150" s="69" t="s">
        <v>466</v>
      </c>
      <c r="F150" s="8" t="s">
        <v>2327</v>
      </c>
      <c r="G150" s="8" t="s">
        <v>58</v>
      </c>
      <c r="H150" s="8" t="s">
        <v>450</v>
      </c>
      <c r="I150" s="8" t="s">
        <v>210</v>
      </c>
      <c r="J150" s="8" t="s">
        <v>8</v>
      </c>
      <c r="K150" s="8" t="s">
        <v>2254</v>
      </c>
      <c r="L150" s="283"/>
      <c r="M150" s="8"/>
      <c r="N150" s="8"/>
      <c r="O150" s="281" t="s">
        <v>2303</v>
      </c>
      <c r="P150" s="8" t="s">
        <v>2436</v>
      </c>
      <c r="Q150" s="132"/>
      <c r="R150" s="38"/>
      <c r="S150" s="8"/>
      <c r="T150" s="8"/>
      <c r="U150" s="8"/>
      <c r="V150" s="8"/>
      <c r="W150" s="8"/>
      <c r="X150" s="8"/>
      <c r="Y150" s="8"/>
      <c r="Z150" s="8"/>
      <c r="AA150" s="8"/>
    </row>
    <row r="151" spans="1:27" ht="189">
      <c r="A151" s="8" t="s">
        <v>53</v>
      </c>
      <c r="B151" s="29" t="s">
        <v>336</v>
      </c>
      <c r="C151" s="8" t="s">
        <v>429</v>
      </c>
      <c r="D151" s="8" t="s">
        <v>467</v>
      </c>
      <c r="E151" s="8" t="s">
        <v>468</v>
      </c>
      <c r="F151" s="8" t="s">
        <v>2327</v>
      </c>
      <c r="G151" s="8" t="s">
        <v>58</v>
      </c>
      <c r="H151" s="8" t="s">
        <v>469</v>
      </c>
      <c r="I151" s="8" t="s">
        <v>210</v>
      </c>
      <c r="J151" s="8" t="s">
        <v>8</v>
      </c>
      <c r="K151" s="8" t="s">
        <v>2441</v>
      </c>
      <c r="L151" s="283" t="s">
        <v>2329</v>
      </c>
      <c r="M151" s="8" t="s">
        <v>10</v>
      </c>
      <c r="N151" s="8" t="s">
        <v>2442</v>
      </c>
      <c r="O151" s="281" t="s">
        <v>2303</v>
      </c>
      <c r="P151" s="8" t="s">
        <v>2258</v>
      </c>
      <c r="Q151" s="132"/>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283"/>
      <c r="M152" s="8"/>
      <c r="N152" s="8"/>
      <c r="O152" s="281"/>
      <c r="P152" s="8"/>
      <c r="Q152" s="132"/>
      <c r="R152" s="38"/>
      <c r="S152" s="8"/>
      <c r="T152" s="8"/>
      <c r="U152" s="8"/>
      <c r="V152" s="8"/>
      <c r="W152" s="8"/>
      <c r="X152" s="8"/>
      <c r="Y152" s="8"/>
      <c r="Z152" s="8"/>
      <c r="AA152" s="8"/>
    </row>
    <row r="153" spans="1:27" ht="220.5">
      <c r="A153" s="8" t="s">
        <v>53</v>
      </c>
      <c r="B153" s="29" t="s">
        <v>336</v>
      </c>
      <c r="C153" s="8" t="s">
        <v>473</v>
      </c>
      <c r="D153" s="8" t="s">
        <v>474</v>
      </c>
      <c r="E153" s="8" t="s">
        <v>475</v>
      </c>
      <c r="F153" s="8" t="s">
        <v>2327</v>
      </c>
      <c r="G153" s="8" t="s">
        <v>62</v>
      </c>
      <c r="H153" s="8" t="s">
        <v>476</v>
      </c>
      <c r="I153" s="8" t="s">
        <v>210</v>
      </c>
      <c r="J153" s="8" t="s">
        <v>8</v>
      </c>
      <c r="K153" s="8" t="s">
        <v>2443</v>
      </c>
      <c r="L153" s="283" t="s">
        <v>2355</v>
      </c>
      <c r="M153" s="8" t="s">
        <v>10</v>
      </c>
      <c r="N153" s="8" t="s">
        <v>2444</v>
      </c>
      <c r="O153" s="281" t="s">
        <v>2303</v>
      </c>
      <c r="P153" s="8" t="s">
        <v>2258</v>
      </c>
      <c r="Q153" s="132"/>
      <c r="R153" s="38"/>
      <c r="S153" s="8"/>
      <c r="T153" s="8"/>
      <c r="U153" s="8"/>
      <c r="V153" s="8"/>
      <c r="W153" s="8"/>
      <c r="X153" s="8"/>
      <c r="Y153" s="8"/>
      <c r="Z153" s="8"/>
      <c r="AA153" s="8"/>
    </row>
    <row r="154" spans="1:27" ht="220.5">
      <c r="A154" s="8" t="s">
        <v>53</v>
      </c>
      <c r="B154" s="29" t="s">
        <v>336</v>
      </c>
      <c r="C154" s="8" t="s">
        <v>473</v>
      </c>
      <c r="D154" s="8" t="s">
        <v>477</v>
      </c>
      <c r="E154" s="8" t="s">
        <v>478</v>
      </c>
      <c r="F154" s="8" t="s">
        <v>2327</v>
      </c>
      <c r="G154" s="8" t="s">
        <v>62</v>
      </c>
      <c r="H154" s="8" t="s">
        <v>479</v>
      </c>
      <c r="I154" s="8" t="s">
        <v>210</v>
      </c>
      <c r="J154" s="8" t="s">
        <v>8</v>
      </c>
      <c r="K154" s="8" t="s">
        <v>2443</v>
      </c>
      <c r="L154" s="283" t="s">
        <v>2348</v>
      </c>
      <c r="M154" s="8" t="s">
        <v>10</v>
      </c>
      <c r="N154" s="8" t="s">
        <v>2444</v>
      </c>
      <c r="O154" s="281" t="s">
        <v>2303</v>
      </c>
      <c r="P154" s="8" t="s">
        <v>2258</v>
      </c>
      <c r="Q154" s="132"/>
      <c r="R154" s="38"/>
      <c r="S154" s="8"/>
      <c r="T154" s="8"/>
      <c r="U154" s="8"/>
      <c r="V154" s="8"/>
      <c r="W154" s="8"/>
      <c r="X154" s="8"/>
      <c r="Y154" s="8"/>
      <c r="Z154" s="8"/>
      <c r="AA154" s="8"/>
    </row>
    <row r="155" spans="1:27">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110.25">
      <c r="A156" s="8" t="s">
        <v>16</v>
      </c>
      <c r="B156" s="29" t="s">
        <v>54</v>
      </c>
      <c r="C156" s="8" t="s">
        <v>481</v>
      </c>
      <c r="D156" s="8" t="s">
        <v>482</v>
      </c>
      <c r="E156" s="8" t="s">
        <v>483</v>
      </c>
      <c r="F156" s="8" t="s">
        <v>2259</v>
      </c>
      <c r="G156" s="8" t="s">
        <v>62</v>
      </c>
      <c r="H156" s="8" t="s">
        <v>484</v>
      </c>
      <c r="I156" s="8" t="s">
        <v>485</v>
      </c>
      <c r="J156" s="8" t="s">
        <v>8</v>
      </c>
      <c r="K156" s="8" t="s">
        <v>2445</v>
      </c>
      <c r="L156" s="283" t="s">
        <v>2273</v>
      </c>
      <c r="M156" s="8" t="s">
        <v>10</v>
      </c>
      <c r="N156" s="8" t="s">
        <v>2446</v>
      </c>
      <c r="O156" s="281">
        <v>17000</v>
      </c>
      <c r="P156" s="8" t="s">
        <v>2447</v>
      </c>
      <c r="Q156" s="132"/>
      <c r="R156" s="38"/>
      <c r="S156" s="8"/>
      <c r="T156" s="8"/>
      <c r="U156" s="8"/>
      <c r="V156" s="8"/>
      <c r="W156" s="8"/>
      <c r="X156" s="8"/>
      <c r="Y156" s="8"/>
      <c r="Z156" s="8"/>
      <c r="AA156" s="8"/>
    </row>
    <row r="157" spans="1:27" ht="82.5" customHeight="1">
      <c r="A157" s="8" t="s">
        <v>16</v>
      </c>
      <c r="B157" s="29" t="s">
        <v>54</v>
      </c>
      <c r="C157" s="8" t="s">
        <v>486</v>
      </c>
      <c r="D157" s="8" t="s">
        <v>487</v>
      </c>
      <c r="E157" s="8" t="s">
        <v>488</v>
      </c>
      <c r="F157" s="20"/>
      <c r="G157" s="20" t="s">
        <v>62</v>
      </c>
      <c r="H157" s="20" t="s">
        <v>489</v>
      </c>
      <c r="I157" s="22" t="s">
        <v>490</v>
      </c>
      <c r="J157" s="20"/>
      <c r="K157" s="20"/>
      <c r="L157" s="278"/>
      <c r="M157" s="20"/>
      <c r="N157" s="20"/>
      <c r="O157" s="279"/>
      <c r="P157" s="20"/>
      <c r="Q157" s="132"/>
      <c r="R157" s="39"/>
      <c r="S157" s="20"/>
      <c r="T157" s="20"/>
      <c r="U157" s="20"/>
      <c r="V157" s="20"/>
      <c r="W157" s="20"/>
      <c r="X157" s="20"/>
      <c r="Y157" s="20"/>
      <c r="Z157" s="20"/>
      <c r="AA157" s="20"/>
    </row>
    <row r="158" spans="1:27" ht="110.25">
      <c r="A158" s="8" t="s">
        <v>16</v>
      </c>
      <c r="B158" s="29" t="s">
        <v>54</v>
      </c>
      <c r="C158" s="8" t="s">
        <v>486</v>
      </c>
      <c r="D158" s="8" t="s">
        <v>491</v>
      </c>
      <c r="E158" s="69" t="s">
        <v>492</v>
      </c>
      <c r="F158" s="8" t="s">
        <v>2259</v>
      </c>
      <c r="G158" s="8" t="s">
        <v>62</v>
      </c>
      <c r="H158" s="8" t="s">
        <v>493</v>
      </c>
      <c r="I158" s="8" t="s">
        <v>494</v>
      </c>
      <c r="J158" s="8" t="s">
        <v>8</v>
      </c>
      <c r="K158" s="8" t="s">
        <v>2445</v>
      </c>
      <c r="L158" s="283" t="s">
        <v>2273</v>
      </c>
      <c r="M158" s="8" t="s">
        <v>10</v>
      </c>
      <c r="N158" s="8" t="s">
        <v>2446</v>
      </c>
      <c r="O158" s="281">
        <v>9600</v>
      </c>
      <c r="P158" s="8" t="s">
        <v>2448</v>
      </c>
      <c r="Q158" s="132"/>
      <c r="R158" s="38"/>
      <c r="S158" s="8"/>
      <c r="T158" s="8"/>
      <c r="U158" s="8"/>
      <c r="V158" s="8"/>
      <c r="W158" s="8"/>
      <c r="X158" s="8"/>
      <c r="Y158" s="8"/>
      <c r="Z158" s="8"/>
      <c r="AA158" s="8"/>
    </row>
    <row r="159" spans="1:27" ht="110.25">
      <c r="A159" s="8" t="s">
        <v>16</v>
      </c>
      <c r="B159" s="29" t="s">
        <v>54</v>
      </c>
      <c r="C159" s="8" t="s">
        <v>486</v>
      </c>
      <c r="D159" s="8" t="s">
        <v>495</v>
      </c>
      <c r="E159" s="69" t="s">
        <v>496</v>
      </c>
      <c r="F159" s="8" t="s">
        <v>2259</v>
      </c>
      <c r="G159" s="8" t="s">
        <v>62</v>
      </c>
      <c r="H159" s="8" t="s">
        <v>493</v>
      </c>
      <c r="I159" s="8" t="s">
        <v>494</v>
      </c>
      <c r="J159" s="8" t="s">
        <v>8</v>
      </c>
      <c r="K159" s="8" t="s">
        <v>2449</v>
      </c>
      <c r="L159" s="283" t="s">
        <v>2273</v>
      </c>
      <c r="M159" s="8" t="s">
        <v>10</v>
      </c>
      <c r="N159" s="8" t="s">
        <v>2450</v>
      </c>
      <c r="O159" s="281" t="s">
        <v>2303</v>
      </c>
      <c r="P159" s="8" t="s">
        <v>2451</v>
      </c>
      <c r="Q159" s="132"/>
      <c r="R159" s="38"/>
      <c r="S159" s="8"/>
      <c r="T159" s="8"/>
      <c r="U159" s="8"/>
      <c r="V159" s="8"/>
      <c r="W159" s="8"/>
      <c r="X159" s="8"/>
      <c r="Y159" s="8"/>
      <c r="Z159" s="8"/>
      <c r="AA159" s="8"/>
    </row>
    <row r="160" spans="1:27" ht="110.25">
      <c r="A160" s="8" t="s">
        <v>16</v>
      </c>
      <c r="B160" s="29" t="s">
        <v>54</v>
      </c>
      <c r="C160" s="8" t="s">
        <v>486</v>
      </c>
      <c r="D160" s="8" t="s">
        <v>497</v>
      </c>
      <c r="E160" s="69" t="s">
        <v>498</v>
      </c>
      <c r="F160" s="8" t="s">
        <v>2259</v>
      </c>
      <c r="G160" s="8" t="s">
        <v>62</v>
      </c>
      <c r="H160" s="8" t="s">
        <v>493</v>
      </c>
      <c r="I160" s="8" t="s">
        <v>494</v>
      </c>
      <c r="J160" s="8" t="s">
        <v>8</v>
      </c>
      <c r="K160" s="8" t="s">
        <v>2452</v>
      </c>
      <c r="L160" s="283" t="s">
        <v>2273</v>
      </c>
      <c r="M160" s="8" t="s">
        <v>9</v>
      </c>
      <c r="N160" s="8" t="s">
        <v>2453</v>
      </c>
      <c r="O160" s="281"/>
      <c r="P160" s="8"/>
      <c r="Q160" s="132"/>
      <c r="R160" s="38"/>
      <c r="S160" s="8"/>
      <c r="T160" s="8"/>
      <c r="U160" s="8"/>
      <c r="V160" s="8"/>
      <c r="W160" s="8"/>
      <c r="X160" s="8"/>
      <c r="Y160" s="8"/>
      <c r="Z160" s="8"/>
      <c r="AA160" s="8"/>
    </row>
    <row r="161" spans="1:27" ht="126">
      <c r="A161" s="8" t="s">
        <v>16</v>
      </c>
      <c r="B161" s="29" t="s">
        <v>54</v>
      </c>
      <c r="C161" s="8" t="s">
        <v>486</v>
      </c>
      <c r="D161" s="8" t="s">
        <v>499</v>
      </c>
      <c r="E161" s="69" t="s">
        <v>500</v>
      </c>
      <c r="F161" s="8" t="s">
        <v>2259</v>
      </c>
      <c r="G161" s="8" t="s">
        <v>62</v>
      </c>
      <c r="H161" s="8" t="s">
        <v>493</v>
      </c>
      <c r="I161" s="8" t="s">
        <v>494</v>
      </c>
      <c r="J161" s="8" t="s">
        <v>8</v>
      </c>
      <c r="K161" s="8" t="s">
        <v>2454</v>
      </c>
      <c r="L161" s="283" t="s">
        <v>2273</v>
      </c>
      <c r="M161" s="8" t="s">
        <v>10</v>
      </c>
      <c r="N161" s="8" t="s">
        <v>2455</v>
      </c>
      <c r="O161" s="281" t="s">
        <v>2303</v>
      </c>
      <c r="P161" s="8" t="s">
        <v>2451</v>
      </c>
      <c r="Q161" s="132"/>
      <c r="R161" s="38"/>
      <c r="S161" s="8"/>
      <c r="T161" s="8"/>
      <c r="U161" s="8"/>
      <c r="V161" s="8"/>
      <c r="W161" s="8"/>
      <c r="X161" s="8"/>
      <c r="Y161" s="8"/>
      <c r="Z161" s="8"/>
      <c r="AA161" s="8"/>
    </row>
    <row r="162" spans="1:27" ht="110.25">
      <c r="A162" s="8" t="s">
        <v>16</v>
      </c>
      <c r="B162" s="29" t="s">
        <v>54</v>
      </c>
      <c r="C162" s="8" t="s">
        <v>486</v>
      </c>
      <c r="D162" s="8" t="s">
        <v>501</v>
      </c>
      <c r="E162" s="69" t="s">
        <v>502</v>
      </c>
      <c r="F162" s="8" t="s">
        <v>2259</v>
      </c>
      <c r="G162" s="8" t="s">
        <v>62</v>
      </c>
      <c r="H162" s="8" t="s">
        <v>493</v>
      </c>
      <c r="I162" s="8" t="s">
        <v>494</v>
      </c>
      <c r="J162" s="8" t="s">
        <v>8</v>
      </c>
      <c r="K162" s="8" t="s">
        <v>2456</v>
      </c>
      <c r="L162" s="283" t="s">
        <v>2273</v>
      </c>
      <c r="M162" s="8" t="s">
        <v>10</v>
      </c>
      <c r="N162" s="8" t="s">
        <v>2457</v>
      </c>
      <c r="O162" s="281" t="s">
        <v>2303</v>
      </c>
      <c r="P162" s="8" t="s">
        <v>2436</v>
      </c>
      <c r="Q162" s="132"/>
      <c r="R162" s="38"/>
      <c r="S162" s="8"/>
      <c r="T162" s="8"/>
      <c r="U162" s="8"/>
      <c r="V162" s="8"/>
      <c r="W162" s="8"/>
      <c r="X162" s="8"/>
      <c r="Y162" s="8"/>
      <c r="Z162" s="8"/>
      <c r="AA162" s="8"/>
    </row>
    <row r="163" spans="1:27" ht="94.5">
      <c r="A163" s="8" t="s">
        <v>16</v>
      </c>
      <c r="B163" s="29" t="s">
        <v>54</v>
      </c>
      <c r="C163" s="8" t="s">
        <v>486</v>
      </c>
      <c r="D163" s="8" t="s">
        <v>503</v>
      </c>
      <c r="E163" s="69" t="s">
        <v>504</v>
      </c>
      <c r="F163" s="8"/>
      <c r="G163" s="8" t="s">
        <v>62</v>
      </c>
      <c r="H163" s="8" t="s">
        <v>493</v>
      </c>
      <c r="I163" s="8" t="s">
        <v>494</v>
      </c>
      <c r="J163" s="8" t="s">
        <v>8</v>
      </c>
      <c r="K163" s="8" t="s">
        <v>2458</v>
      </c>
      <c r="L163" s="283" t="s">
        <v>2273</v>
      </c>
      <c r="M163" s="8"/>
      <c r="N163" s="8"/>
      <c r="O163" s="281" t="s">
        <v>2303</v>
      </c>
      <c r="P163" s="8" t="s">
        <v>2436</v>
      </c>
      <c r="Q163" s="132"/>
      <c r="R163" s="38"/>
      <c r="S163" s="8"/>
      <c r="T163" s="8"/>
      <c r="U163" s="8"/>
      <c r="V163" s="8"/>
      <c r="W163" s="8"/>
      <c r="X163" s="8"/>
      <c r="Y163" s="8"/>
      <c r="Z163" s="8"/>
      <c r="AA163" s="8"/>
    </row>
    <row r="164" spans="1:27" ht="110.25">
      <c r="A164" s="8" t="s">
        <v>16</v>
      </c>
      <c r="B164" s="29" t="s">
        <v>54</v>
      </c>
      <c r="C164" s="8" t="s">
        <v>486</v>
      </c>
      <c r="D164" s="8" t="s">
        <v>505</v>
      </c>
      <c r="E164" s="69" t="s">
        <v>506</v>
      </c>
      <c r="F164" s="8"/>
      <c r="G164" s="8" t="s">
        <v>62</v>
      </c>
      <c r="H164" s="8" t="s">
        <v>493</v>
      </c>
      <c r="I164" s="8" t="s">
        <v>494</v>
      </c>
      <c r="J164" s="8" t="s">
        <v>8</v>
      </c>
      <c r="K164" s="8" t="s">
        <v>2459</v>
      </c>
      <c r="L164" s="283" t="s">
        <v>2273</v>
      </c>
      <c r="M164" s="8"/>
      <c r="N164" s="8"/>
      <c r="O164" s="281" t="s">
        <v>2412</v>
      </c>
      <c r="P164" s="8" t="s">
        <v>2460</v>
      </c>
      <c r="Q164" s="132"/>
      <c r="R164" s="38"/>
      <c r="S164" s="8"/>
      <c r="T164" s="8"/>
      <c r="U164" s="8"/>
      <c r="V164" s="8"/>
      <c r="W164" s="8"/>
      <c r="X164" s="8"/>
      <c r="Y164" s="8"/>
      <c r="Z164" s="8"/>
      <c r="AA164" s="8"/>
    </row>
    <row r="165" spans="1:27" ht="94.5">
      <c r="A165" s="8" t="s">
        <v>16</v>
      </c>
      <c r="B165" s="29" t="s">
        <v>54</v>
      </c>
      <c r="C165" s="8" t="s">
        <v>486</v>
      </c>
      <c r="D165" s="8" t="s">
        <v>507</v>
      </c>
      <c r="E165" s="69" t="s">
        <v>508</v>
      </c>
      <c r="F165" s="8"/>
      <c r="G165" s="8" t="s">
        <v>62</v>
      </c>
      <c r="H165" s="8" t="s">
        <v>493</v>
      </c>
      <c r="I165" s="8" t="s">
        <v>494</v>
      </c>
      <c r="J165" s="8" t="s">
        <v>8</v>
      </c>
      <c r="K165" s="8" t="s">
        <v>2461</v>
      </c>
      <c r="L165" s="283" t="s">
        <v>2273</v>
      </c>
      <c r="M165" s="8"/>
      <c r="N165" s="8"/>
      <c r="O165" s="281" t="s">
        <v>2412</v>
      </c>
      <c r="P165" s="8" t="s">
        <v>2258</v>
      </c>
      <c r="Q165" s="132"/>
      <c r="R165" s="38"/>
      <c r="S165" s="8"/>
      <c r="T165" s="8"/>
      <c r="U165" s="8"/>
      <c r="V165" s="8"/>
      <c r="W165" s="8"/>
      <c r="X165" s="8"/>
      <c r="Y165" s="8"/>
      <c r="Z165" s="8"/>
      <c r="AA165" s="8"/>
    </row>
    <row r="166" spans="1:27" ht="94.5">
      <c r="A166" s="8" t="s">
        <v>16</v>
      </c>
      <c r="B166" s="29" t="s">
        <v>54</v>
      </c>
      <c r="C166" s="8" t="s">
        <v>486</v>
      </c>
      <c r="D166" s="8" t="s">
        <v>509</v>
      </c>
      <c r="E166" s="69" t="s">
        <v>510</v>
      </c>
      <c r="F166" s="8"/>
      <c r="G166" s="8" t="s">
        <v>62</v>
      </c>
      <c r="H166" s="8" t="s">
        <v>493</v>
      </c>
      <c r="I166" s="8" t="s">
        <v>494</v>
      </c>
      <c r="J166" s="8" t="s">
        <v>8</v>
      </c>
      <c r="K166" s="8" t="s">
        <v>2462</v>
      </c>
      <c r="L166" s="283" t="s">
        <v>2273</v>
      </c>
      <c r="M166" s="8"/>
      <c r="N166" s="8"/>
      <c r="O166" s="281" t="s">
        <v>2412</v>
      </c>
      <c r="P166" s="8" t="s">
        <v>2258</v>
      </c>
      <c r="Q166" s="132"/>
      <c r="R166" s="38"/>
      <c r="S166" s="8"/>
      <c r="T166" s="8"/>
      <c r="U166" s="8"/>
      <c r="V166" s="8"/>
      <c r="W166" s="8"/>
      <c r="X166" s="8"/>
      <c r="Y166" s="8"/>
      <c r="Z166" s="8"/>
      <c r="AA166" s="8"/>
    </row>
    <row r="167" spans="1:27" ht="94.5">
      <c r="A167" s="8" t="s">
        <v>16</v>
      </c>
      <c r="B167" s="29" t="s">
        <v>54</v>
      </c>
      <c r="C167" s="8" t="s">
        <v>486</v>
      </c>
      <c r="D167" s="8" t="s">
        <v>511</v>
      </c>
      <c r="E167" s="69" t="s">
        <v>512</v>
      </c>
      <c r="F167" s="8"/>
      <c r="G167" s="8" t="s">
        <v>62</v>
      </c>
      <c r="H167" s="8" t="s">
        <v>493</v>
      </c>
      <c r="I167" s="8" t="s">
        <v>494</v>
      </c>
      <c r="J167" s="8" t="s">
        <v>8</v>
      </c>
      <c r="K167" s="8" t="s">
        <v>2459</v>
      </c>
      <c r="L167" s="283" t="s">
        <v>2273</v>
      </c>
      <c r="M167" s="8"/>
      <c r="N167" s="8"/>
      <c r="O167" s="281" t="s">
        <v>2412</v>
      </c>
      <c r="P167" s="8" t="s">
        <v>2258</v>
      </c>
      <c r="Q167" s="132"/>
      <c r="R167" s="38"/>
      <c r="S167" s="8"/>
      <c r="T167" s="8"/>
      <c r="U167" s="8"/>
      <c r="V167" s="8"/>
      <c r="W167" s="8"/>
      <c r="X167" s="8"/>
      <c r="Y167" s="8"/>
      <c r="Z167" s="8"/>
      <c r="AA167" s="8"/>
    </row>
    <row r="168" spans="1:27" ht="94.5">
      <c r="A168" s="78" t="s">
        <v>16</v>
      </c>
      <c r="B168" s="79" t="s">
        <v>54</v>
      </c>
      <c r="C168" s="78" t="s">
        <v>486</v>
      </c>
      <c r="D168" s="78" t="s">
        <v>513</v>
      </c>
      <c r="E168" s="80" t="s">
        <v>514</v>
      </c>
      <c r="F168" s="78"/>
      <c r="G168" s="78" t="s">
        <v>62</v>
      </c>
      <c r="H168" s="78" t="s">
        <v>493</v>
      </c>
      <c r="I168" s="78" t="s">
        <v>494</v>
      </c>
      <c r="J168" s="78" t="s">
        <v>8</v>
      </c>
      <c r="K168" s="78" t="s">
        <v>2459</v>
      </c>
      <c r="L168" s="294" t="s">
        <v>2273</v>
      </c>
      <c r="M168" s="78"/>
      <c r="N168" s="78"/>
      <c r="O168" s="295" t="s">
        <v>2412</v>
      </c>
      <c r="P168" s="78" t="s">
        <v>2258</v>
      </c>
      <c r="Q168" s="132"/>
      <c r="R168" s="83"/>
      <c r="S168" s="78"/>
      <c r="T168" s="78"/>
      <c r="U168" s="78"/>
      <c r="V168" s="78"/>
      <c r="W168" s="78"/>
      <c r="X168" s="78"/>
      <c r="Y168" s="78"/>
      <c r="Z168" s="78"/>
      <c r="AA168" s="78"/>
    </row>
    <row r="169" spans="1:27" ht="94.5">
      <c r="A169" s="135" t="s">
        <v>16</v>
      </c>
      <c r="B169" s="136" t="s">
        <v>54</v>
      </c>
      <c r="C169" s="135" t="s">
        <v>486</v>
      </c>
      <c r="D169" s="138" t="s">
        <v>515</v>
      </c>
      <c r="E169" s="137" t="s">
        <v>516</v>
      </c>
      <c r="F169" s="135"/>
      <c r="G169" s="135" t="s">
        <v>62</v>
      </c>
      <c r="H169" s="135" t="s">
        <v>493</v>
      </c>
      <c r="I169" s="135" t="s">
        <v>494</v>
      </c>
      <c r="J169" s="135" t="s">
        <v>8</v>
      </c>
      <c r="K169" s="135" t="s">
        <v>2459</v>
      </c>
      <c r="L169" s="301" t="s">
        <v>2273</v>
      </c>
      <c r="M169" s="135"/>
      <c r="N169" s="135"/>
      <c r="O169" s="302" t="s">
        <v>2412</v>
      </c>
      <c r="P169" s="303" t="s">
        <v>2258</v>
      </c>
      <c r="Q169" s="26"/>
      <c r="R169" s="76"/>
      <c r="S169" s="76"/>
      <c r="T169" s="76"/>
      <c r="U169" s="76"/>
      <c r="V169" s="76"/>
      <c r="W169" s="76"/>
      <c r="X169" s="76"/>
      <c r="Y169" s="76"/>
      <c r="Z169" s="76"/>
      <c r="AA169" s="76"/>
    </row>
    <row r="170" spans="1:27" ht="63">
      <c r="A170" s="76" t="s">
        <v>16</v>
      </c>
      <c r="B170" s="77" t="s">
        <v>54</v>
      </c>
      <c r="C170" s="76" t="s">
        <v>486</v>
      </c>
      <c r="D170" s="90" t="s">
        <v>517</v>
      </c>
      <c r="E170" s="76" t="s">
        <v>518</v>
      </c>
      <c r="F170" s="76"/>
      <c r="G170" s="76" t="s">
        <v>62</v>
      </c>
      <c r="H170" s="76" t="s">
        <v>519</v>
      </c>
      <c r="I170" s="134">
        <v>1</v>
      </c>
      <c r="J170" s="76" t="s">
        <v>8</v>
      </c>
      <c r="K170" s="76" t="s">
        <v>2459</v>
      </c>
      <c r="L170" s="296" t="s">
        <v>2273</v>
      </c>
      <c r="M170" s="76"/>
      <c r="N170" s="76"/>
      <c r="O170" s="304" t="s">
        <v>2412</v>
      </c>
      <c r="P170" s="298" t="s">
        <v>2258</v>
      </c>
      <c r="Q170" s="132"/>
      <c r="R170" s="133"/>
      <c r="S170" s="84"/>
      <c r="T170" s="84"/>
      <c r="U170" s="84"/>
      <c r="V170" s="84"/>
      <c r="W170" s="84"/>
      <c r="X170" s="84"/>
      <c r="Y170" s="84"/>
      <c r="Z170" s="84"/>
      <c r="AA170" s="84"/>
    </row>
    <row r="171" spans="1:27" ht="204.75">
      <c r="A171" s="84" t="s">
        <v>16</v>
      </c>
      <c r="B171" s="85" t="s">
        <v>54</v>
      </c>
      <c r="C171" s="84" t="s">
        <v>486</v>
      </c>
      <c r="D171" s="84" t="s">
        <v>520</v>
      </c>
      <c r="E171" s="84" t="s">
        <v>521</v>
      </c>
      <c r="F171" s="84" t="s">
        <v>2259</v>
      </c>
      <c r="G171" s="84" t="s">
        <v>62</v>
      </c>
      <c r="H171" s="84" t="s">
        <v>522</v>
      </c>
      <c r="I171" s="86">
        <v>1</v>
      </c>
      <c r="J171" s="84" t="s">
        <v>8</v>
      </c>
      <c r="K171" s="84" t="s">
        <v>2463</v>
      </c>
      <c r="L171" s="299" t="s">
        <v>2273</v>
      </c>
      <c r="M171" s="84" t="s">
        <v>10</v>
      </c>
      <c r="N171" s="84" t="s">
        <v>2464</v>
      </c>
      <c r="O171" s="300"/>
      <c r="P171" s="84" t="s">
        <v>2465</v>
      </c>
      <c r="Q171" s="132"/>
      <c r="R171" s="38"/>
      <c r="S171" s="8"/>
      <c r="T171" s="8"/>
      <c r="U171" s="8"/>
      <c r="V171" s="8"/>
      <c r="W171" s="8"/>
      <c r="X171" s="8"/>
      <c r="Y171" s="8"/>
      <c r="Z171" s="8"/>
      <c r="AA171" s="8"/>
    </row>
    <row r="172" spans="1:27" ht="110.25">
      <c r="A172" s="8" t="s">
        <v>16</v>
      </c>
      <c r="B172" s="29" t="s">
        <v>54</v>
      </c>
      <c r="C172" s="8" t="s">
        <v>486</v>
      </c>
      <c r="D172" s="8" t="s">
        <v>523</v>
      </c>
      <c r="E172" s="8" t="s">
        <v>524</v>
      </c>
      <c r="F172" s="8"/>
      <c r="G172" s="8" t="s">
        <v>62</v>
      </c>
      <c r="H172" s="8" t="s">
        <v>525</v>
      </c>
      <c r="I172" s="8" t="s">
        <v>526</v>
      </c>
      <c r="J172" s="8" t="s">
        <v>8</v>
      </c>
      <c r="K172" s="8" t="s">
        <v>2462</v>
      </c>
      <c r="L172" s="283" t="s">
        <v>2273</v>
      </c>
      <c r="M172" s="8"/>
      <c r="N172" s="8"/>
      <c r="O172" s="281" t="s">
        <v>2412</v>
      </c>
      <c r="P172" s="8" t="s">
        <v>2460</v>
      </c>
      <c r="Q172" s="132"/>
      <c r="R172" s="38"/>
      <c r="S172" s="8"/>
      <c r="T172" s="8"/>
      <c r="U172" s="8"/>
      <c r="V172" s="8"/>
      <c r="W172" s="8"/>
      <c r="X172" s="8"/>
      <c r="Y172" s="8"/>
      <c r="Z172" s="8"/>
      <c r="AA172" s="8"/>
    </row>
    <row r="173" spans="1:27" ht="47.25">
      <c r="A173" s="8" t="s">
        <v>16</v>
      </c>
      <c r="B173" s="29" t="s">
        <v>54</v>
      </c>
      <c r="C173" s="8" t="s">
        <v>527</v>
      </c>
      <c r="D173" s="8" t="s">
        <v>528</v>
      </c>
      <c r="E173" s="8" t="s">
        <v>529</v>
      </c>
      <c r="F173" s="8"/>
      <c r="G173" s="8" t="s">
        <v>62</v>
      </c>
      <c r="H173" s="8" t="s">
        <v>530</v>
      </c>
      <c r="I173" s="8" t="s">
        <v>135</v>
      </c>
      <c r="J173" s="8" t="s">
        <v>8</v>
      </c>
      <c r="K173" s="8" t="s">
        <v>2459</v>
      </c>
      <c r="L173" s="283" t="s">
        <v>2273</v>
      </c>
      <c r="M173" s="8"/>
      <c r="N173" s="8"/>
      <c r="O173" s="281" t="s">
        <v>2412</v>
      </c>
      <c r="P173" s="8" t="s">
        <v>2258</v>
      </c>
      <c r="Q173" s="132"/>
      <c r="R173" s="38"/>
      <c r="S173" s="8"/>
      <c r="T173" s="8"/>
      <c r="U173" s="8"/>
      <c r="V173" s="8"/>
      <c r="W173" s="8"/>
      <c r="X173" s="8"/>
      <c r="Y173" s="8"/>
      <c r="Z173" s="8"/>
      <c r="AA173" s="8"/>
    </row>
    <row r="174" spans="1:27" ht="78.75">
      <c r="A174" s="8" t="s">
        <v>16</v>
      </c>
      <c r="B174" s="29" t="s">
        <v>195</v>
      </c>
      <c r="C174" s="8" t="s">
        <v>531</v>
      </c>
      <c r="D174" s="8" t="s">
        <v>532</v>
      </c>
      <c r="E174" s="8" t="s">
        <v>533</v>
      </c>
      <c r="F174" s="8"/>
      <c r="G174" s="8" t="s">
        <v>62</v>
      </c>
      <c r="H174" s="8" t="s">
        <v>534</v>
      </c>
      <c r="I174" s="9">
        <v>1</v>
      </c>
      <c r="J174" s="8" t="s">
        <v>8</v>
      </c>
      <c r="K174" s="8" t="s">
        <v>2466</v>
      </c>
      <c r="L174" s="283" t="s">
        <v>2273</v>
      </c>
      <c r="M174" s="8"/>
      <c r="N174" s="8"/>
      <c r="O174" s="281" t="s">
        <v>2412</v>
      </c>
      <c r="P174" s="8" t="s">
        <v>2258</v>
      </c>
      <c r="Q174" s="132"/>
      <c r="R174" s="38"/>
      <c r="S174" s="8"/>
      <c r="T174" s="8"/>
      <c r="U174" s="8"/>
      <c r="V174" s="8"/>
      <c r="W174" s="8"/>
      <c r="X174" s="8"/>
      <c r="Y174" s="8"/>
      <c r="Z174" s="8"/>
      <c r="AA174" s="8"/>
    </row>
    <row r="175" spans="1:27" ht="94.5">
      <c r="A175" s="8" t="s">
        <v>16</v>
      </c>
      <c r="B175" s="29" t="s">
        <v>195</v>
      </c>
      <c r="C175" s="8" t="s">
        <v>531</v>
      </c>
      <c r="D175" s="8" t="s">
        <v>535</v>
      </c>
      <c r="E175" s="8" t="s">
        <v>536</v>
      </c>
      <c r="F175" s="8"/>
      <c r="G175" s="8" t="s">
        <v>62</v>
      </c>
      <c r="H175" s="8" t="s">
        <v>537</v>
      </c>
      <c r="I175" s="8" t="s">
        <v>538</v>
      </c>
      <c r="J175" s="8" t="s">
        <v>8</v>
      </c>
      <c r="K175" s="8" t="s">
        <v>2258</v>
      </c>
      <c r="L175" s="283" t="s">
        <v>2273</v>
      </c>
      <c r="M175" s="8"/>
      <c r="N175" s="8"/>
      <c r="O175" s="281" t="s">
        <v>2412</v>
      </c>
      <c r="P175" s="8" t="s">
        <v>2258</v>
      </c>
      <c r="Q175" s="132"/>
      <c r="R175" s="38"/>
      <c r="S175" s="8"/>
      <c r="T175" s="8"/>
      <c r="U175" s="8"/>
      <c r="V175" s="8"/>
      <c r="W175" s="8"/>
      <c r="X175" s="8"/>
      <c r="Y175" s="8"/>
      <c r="Z175" s="8"/>
      <c r="AA175" s="8"/>
    </row>
    <row r="176" spans="1:27" ht="236.25">
      <c r="A176" s="8" t="s">
        <v>16</v>
      </c>
      <c r="B176" s="29" t="s">
        <v>195</v>
      </c>
      <c r="C176" s="8" t="s">
        <v>539</v>
      </c>
      <c r="D176" s="8" t="s">
        <v>540</v>
      </c>
      <c r="E176" s="8" t="s">
        <v>541</v>
      </c>
      <c r="F176" s="8"/>
      <c r="G176" s="8" t="s">
        <v>62</v>
      </c>
      <c r="H176" s="8" t="s">
        <v>542</v>
      </c>
      <c r="I176" s="9">
        <v>1</v>
      </c>
      <c r="J176" s="8" t="s">
        <v>8</v>
      </c>
      <c r="K176" s="8" t="s">
        <v>2258</v>
      </c>
      <c r="L176" s="283" t="s">
        <v>2273</v>
      </c>
      <c r="M176" s="8"/>
      <c r="N176" s="8"/>
      <c r="O176" s="281" t="s">
        <v>2303</v>
      </c>
      <c r="P176" s="8" t="s">
        <v>2467</v>
      </c>
      <c r="Q176" s="132"/>
      <c r="R176" s="38"/>
      <c r="S176" s="8"/>
      <c r="T176" s="8"/>
      <c r="U176" s="8"/>
      <c r="V176" s="8"/>
      <c r="W176" s="8"/>
      <c r="X176" s="8"/>
      <c r="Y176" s="8"/>
      <c r="Z176" s="8"/>
      <c r="AA176" s="8"/>
    </row>
    <row r="177" spans="1:51" ht="94.5">
      <c r="A177" s="8" t="s">
        <v>16</v>
      </c>
      <c r="B177" s="29" t="s">
        <v>195</v>
      </c>
      <c r="C177" s="8" t="s">
        <v>543</v>
      </c>
      <c r="D177" s="8" t="s">
        <v>544</v>
      </c>
      <c r="E177" s="8" t="s">
        <v>253</v>
      </c>
      <c r="F177" s="20"/>
      <c r="G177" s="20" t="s">
        <v>62</v>
      </c>
      <c r="H177" s="20" t="s">
        <v>254</v>
      </c>
      <c r="I177" s="22"/>
      <c r="J177" s="20"/>
      <c r="K177" s="20"/>
      <c r="L177" s="278"/>
      <c r="M177" s="20"/>
      <c r="N177" s="20"/>
      <c r="O177" s="279"/>
      <c r="P177" s="20"/>
      <c r="Q177" s="132"/>
      <c r="R177" s="39"/>
      <c r="S177" s="20"/>
      <c r="T177" s="20"/>
      <c r="U177" s="20"/>
      <c r="V177" s="20"/>
      <c r="W177" s="20"/>
      <c r="X177" s="20"/>
      <c r="Y177" s="20"/>
      <c r="Z177" s="20"/>
      <c r="AA177" s="20"/>
    </row>
    <row r="178" spans="1:51" ht="173.25">
      <c r="A178" s="8" t="s">
        <v>16</v>
      </c>
      <c r="B178" s="29" t="s">
        <v>195</v>
      </c>
      <c r="C178" s="8" t="s">
        <v>543</v>
      </c>
      <c r="D178" s="8" t="s">
        <v>545</v>
      </c>
      <c r="E178" s="69" t="s">
        <v>546</v>
      </c>
      <c r="F178" s="8" t="s">
        <v>2259</v>
      </c>
      <c r="G178" s="8" t="s">
        <v>62</v>
      </c>
      <c r="H178" s="8" t="s">
        <v>254</v>
      </c>
      <c r="I178" s="9">
        <v>1</v>
      </c>
      <c r="J178" s="8" t="s">
        <v>8</v>
      </c>
      <c r="K178" s="8" t="s">
        <v>2468</v>
      </c>
      <c r="L178" s="283" t="s">
        <v>2273</v>
      </c>
      <c r="M178" s="8" t="s">
        <v>10</v>
      </c>
      <c r="N178" s="8" t="s">
        <v>2469</v>
      </c>
      <c r="O178" s="281"/>
      <c r="P178" s="8" t="s">
        <v>2470</v>
      </c>
      <c r="Q178" s="132"/>
      <c r="R178" s="38"/>
      <c r="S178" s="8"/>
      <c r="T178" s="8"/>
      <c r="U178" s="8"/>
      <c r="V178" s="8"/>
      <c r="W178" s="8"/>
      <c r="X178" s="8"/>
      <c r="Y178" s="8"/>
      <c r="Z178" s="8"/>
      <c r="AA178" s="8"/>
    </row>
    <row r="179" spans="1:51" ht="78.75">
      <c r="A179" s="8" t="s">
        <v>16</v>
      </c>
      <c r="B179" s="29" t="s">
        <v>195</v>
      </c>
      <c r="C179" s="8" t="s">
        <v>543</v>
      </c>
      <c r="D179" s="8" t="s">
        <v>547</v>
      </c>
      <c r="E179" s="69" t="s">
        <v>548</v>
      </c>
      <c r="F179" s="8"/>
      <c r="G179" s="8" t="s">
        <v>58</v>
      </c>
      <c r="H179" s="8" t="s">
        <v>549</v>
      </c>
      <c r="I179" s="8" t="s">
        <v>210</v>
      </c>
      <c r="J179" s="8" t="s">
        <v>8</v>
      </c>
      <c r="K179" s="8" t="s">
        <v>2466</v>
      </c>
      <c r="L179" s="283" t="s">
        <v>2273</v>
      </c>
      <c r="M179" s="8"/>
      <c r="N179" s="8"/>
      <c r="O179" s="281" t="s">
        <v>2303</v>
      </c>
      <c r="P179" s="8" t="s">
        <v>2471</v>
      </c>
      <c r="Q179" s="132"/>
      <c r="R179" s="38"/>
      <c r="S179" s="8"/>
      <c r="T179" s="8"/>
      <c r="U179" s="8"/>
      <c r="V179" s="8"/>
      <c r="W179" s="8"/>
      <c r="X179" s="8"/>
      <c r="Y179" s="8"/>
      <c r="Z179" s="8"/>
      <c r="AA179" s="8"/>
    </row>
    <row r="180" spans="1:51" ht="110.25">
      <c r="A180" s="8" t="s">
        <v>16</v>
      </c>
      <c r="B180" s="29" t="s">
        <v>195</v>
      </c>
      <c r="C180" s="8" t="s">
        <v>543</v>
      </c>
      <c r="D180" s="8" t="s">
        <v>550</v>
      </c>
      <c r="E180" s="69" t="s">
        <v>551</v>
      </c>
      <c r="F180" s="8"/>
      <c r="G180" s="8" t="s">
        <v>58</v>
      </c>
      <c r="H180" s="8" t="s">
        <v>552</v>
      </c>
      <c r="I180" s="8" t="s">
        <v>210</v>
      </c>
      <c r="J180" s="8" t="s">
        <v>8</v>
      </c>
      <c r="K180" s="8" t="s">
        <v>2258</v>
      </c>
      <c r="L180" s="283" t="s">
        <v>2273</v>
      </c>
      <c r="M180" s="8"/>
      <c r="N180" s="8"/>
      <c r="O180" s="281" t="s">
        <v>2303</v>
      </c>
      <c r="P180" s="8" t="s">
        <v>2258</v>
      </c>
      <c r="Q180" s="132"/>
      <c r="R180" s="38"/>
      <c r="S180" s="8"/>
      <c r="T180" s="8"/>
      <c r="U180" s="8"/>
      <c r="V180" s="8"/>
      <c r="W180" s="8"/>
      <c r="X180" s="8"/>
      <c r="Y180" s="8"/>
      <c r="Z180" s="8"/>
      <c r="AA180" s="8"/>
    </row>
    <row r="181" spans="1:51" ht="157.5">
      <c r="A181" s="8" t="s">
        <v>16</v>
      </c>
      <c r="B181" s="29" t="s">
        <v>195</v>
      </c>
      <c r="C181" s="8" t="s">
        <v>543</v>
      </c>
      <c r="D181" s="8" t="s">
        <v>553</v>
      </c>
      <c r="E181" s="8" t="s">
        <v>554</v>
      </c>
      <c r="F181" s="8"/>
      <c r="G181" s="8" t="s">
        <v>62</v>
      </c>
      <c r="H181" s="8" t="s">
        <v>555</v>
      </c>
      <c r="I181" s="9">
        <v>1</v>
      </c>
      <c r="J181" s="8" t="s">
        <v>8</v>
      </c>
      <c r="K181" s="8" t="s">
        <v>2472</v>
      </c>
      <c r="L181" s="283" t="s">
        <v>2273</v>
      </c>
      <c r="M181" s="8"/>
      <c r="N181" s="8"/>
      <c r="O181" s="281" t="s">
        <v>2303</v>
      </c>
      <c r="P181" s="8"/>
      <c r="Q181" s="132"/>
      <c r="R181" s="38"/>
      <c r="S181" s="8"/>
      <c r="T181" s="8"/>
      <c r="U181" s="8"/>
      <c r="V181" s="8"/>
      <c r="W181" s="8"/>
      <c r="X181" s="8"/>
      <c r="Y181" s="8"/>
      <c r="Z181" s="8"/>
      <c r="AA181" s="8"/>
    </row>
    <row r="182" spans="1:51" ht="94.5">
      <c r="A182" s="8" t="s">
        <v>16</v>
      </c>
      <c r="B182" s="29" t="s">
        <v>195</v>
      </c>
      <c r="C182" s="8" t="s">
        <v>556</v>
      </c>
      <c r="D182" s="8" t="s">
        <v>557</v>
      </c>
      <c r="E182" s="8" t="s">
        <v>558</v>
      </c>
      <c r="F182" s="8"/>
      <c r="G182" s="8" t="s">
        <v>62</v>
      </c>
      <c r="H182" s="8" t="s">
        <v>559</v>
      </c>
      <c r="I182" s="8" t="s">
        <v>485</v>
      </c>
      <c r="J182" s="8" t="s">
        <v>8</v>
      </c>
      <c r="K182" s="8" t="s">
        <v>2466</v>
      </c>
      <c r="L182" s="283" t="s">
        <v>2273</v>
      </c>
      <c r="M182" s="8"/>
      <c r="N182" s="8"/>
      <c r="O182" s="281" t="s">
        <v>2303</v>
      </c>
      <c r="P182" s="8"/>
      <c r="Q182" s="132"/>
      <c r="R182" s="38"/>
      <c r="S182" s="8"/>
      <c r="T182" s="8"/>
      <c r="U182" s="8"/>
      <c r="V182" s="8"/>
      <c r="W182" s="8"/>
      <c r="X182" s="8"/>
      <c r="Y182" s="8"/>
      <c r="Z182" s="8"/>
      <c r="AA182" s="8"/>
    </row>
    <row r="183" spans="1:51" ht="110.25">
      <c r="A183" s="8" t="s">
        <v>16</v>
      </c>
      <c r="B183" s="29" t="s">
        <v>195</v>
      </c>
      <c r="C183" s="8" t="s">
        <v>556</v>
      </c>
      <c r="D183" s="8" t="s">
        <v>560</v>
      </c>
      <c r="E183" s="8" t="s">
        <v>561</v>
      </c>
      <c r="F183" s="8" t="s">
        <v>2259</v>
      </c>
      <c r="G183" s="8" t="s">
        <v>62</v>
      </c>
      <c r="H183" s="8" t="s">
        <v>259</v>
      </c>
      <c r="I183" s="8" t="s">
        <v>210</v>
      </c>
      <c r="J183" s="8" t="s">
        <v>8</v>
      </c>
      <c r="K183" s="8" t="s">
        <v>2258</v>
      </c>
      <c r="L183" s="283" t="s">
        <v>2273</v>
      </c>
      <c r="M183" s="8" t="s">
        <v>11</v>
      </c>
      <c r="N183" s="8" t="s">
        <v>2473</v>
      </c>
      <c r="O183" s="281"/>
      <c r="P183" s="8" t="s">
        <v>2474</v>
      </c>
      <c r="Q183" s="132"/>
      <c r="R183" s="38"/>
      <c r="S183" s="8"/>
      <c r="T183" s="8"/>
      <c r="U183" s="8"/>
      <c r="V183" s="8"/>
      <c r="W183" s="8"/>
      <c r="X183" s="8"/>
      <c r="Y183" s="8"/>
      <c r="Z183" s="8"/>
      <c r="AA183" s="8"/>
    </row>
    <row r="184" spans="1:51" ht="94.5">
      <c r="A184" s="8" t="s">
        <v>16</v>
      </c>
      <c r="B184" s="29" t="s">
        <v>274</v>
      </c>
      <c r="C184" s="8" t="s">
        <v>562</v>
      </c>
      <c r="D184" s="8" t="s">
        <v>563</v>
      </c>
      <c r="E184" s="8" t="s">
        <v>564</v>
      </c>
      <c r="F184" s="20"/>
      <c r="G184" s="20" t="s">
        <v>62</v>
      </c>
      <c r="H184" s="20"/>
      <c r="I184" s="22"/>
      <c r="J184" s="20"/>
      <c r="K184" s="20"/>
      <c r="L184" s="278"/>
      <c r="M184" s="20"/>
      <c r="N184" s="20"/>
      <c r="O184" s="279"/>
      <c r="P184" s="20"/>
      <c r="Q184" s="132"/>
      <c r="R184" s="39"/>
      <c r="S184" s="20"/>
      <c r="T184" s="20"/>
      <c r="U184" s="20"/>
      <c r="V184" s="20"/>
      <c r="W184" s="20"/>
      <c r="X184" s="20"/>
      <c r="Y184" s="20"/>
      <c r="Z184" s="20"/>
      <c r="AA184" s="20"/>
    </row>
    <row r="185" spans="1:51" ht="126">
      <c r="A185" s="8" t="s">
        <v>16</v>
      </c>
      <c r="B185" s="29" t="s">
        <v>274</v>
      </c>
      <c r="C185" s="8" t="s">
        <v>562</v>
      </c>
      <c r="D185" s="8" t="s">
        <v>565</v>
      </c>
      <c r="E185" s="69" t="s">
        <v>566</v>
      </c>
      <c r="F185" s="8"/>
      <c r="G185" s="8" t="s">
        <v>62</v>
      </c>
      <c r="H185" s="8" t="s">
        <v>567</v>
      </c>
      <c r="I185" s="9">
        <v>1</v>
      </c>
      <c r="J185" s="8" t="s">
        <v>8</v>
      </c>
      <c r="K185" s="8" t="s">
        <v>2475</v>
      </c>
      <c r="L185" s="283" t="s">
        <v>2273</v>
      </c>
      <c r="M185" s="8"/>
      <c r="N185" s="8"/>
      <c r="O185" s="281" t="s">
        <v>2303</v>
      </c>
      <c r="P185" s="8"/>
      <c r="Q185" s="132"/>
      <c r="R185" s="38"/>
      <c r="S185" s="8"/>
      <c r="T185" s="8"/>
      <c r="U185" s="8"/>
      <c r="V185" s="8"/>
      <c r="W185" s="8"/>
      <c r="X185" s="8"/>
      <c r="Y185" s="8"/>
      <c r="Z185" s="8"/>
      <c r="AA185" s="8"/>
    </row>
    <row r="186" spans="1:51" ht="78.75">
      <c r="A186" s="8" t="s">
        <v>16</v>
      </c>
      <c r="B186" s="29" t="s">
        <v>274</v>
      </c>
      <c r="C186" s="8" t="s">
        <v>562</v>
      </c>
      <c r="D186" s="8" t="s">
        <v>568</v>
      </c>
      <c r="E186" s="69" t="s">
        <v>569</v>
      </c>
      <c r="F186" s="8"/>
      <c r="G186" s="8" t="s">
        <v>62</v>
      </c>
      <c r="H186" s="8" t="s">
        <v>570</v>
      </c>
      <c r="I186" s="9">
        <v>1</v>
      </c>
      <c r="J186" s="8" t="s">
        <v>8</v>
      </c>
      <c r="K186" s="8" t="s">
        <v>2274</v>
      </c>
      <c r="L186" s="283" t="s">
        <v>2273</v>
      </c>
      <c r="M186" s="8"/>
      <c r="N186" s="8"/>
      <c r="O186" s="281" t="s">
        <v>2303</v>
      </c>
      <c r="P186" s="8"/>
      <c r="Q186" s="132"/>
      <c r="R186" s="38"/>
      <c r="S186" s="8"/>
      <c r="T186" s="8"/>
      <c r="U186" s="8"/>
      <c r="V186" s="8"/>
      <c r="W186" s="8"/>
      <c r="X186" s="8"/>
      <c r="Y186" s="8"/>
      <c r="Z186" s="8"/>
      <c r="AA186" s="8"/>
    </row>
    <row r="187" spans="1:51" ht="78.75">
      <c r="A187" s="8" t="s">
        <v>16</v>
      </c>
      <c r="B187" s="29" t="s">
        <v>274</v>
      </c>
      <c r="C187" s="8" t="s">
        <v>571</v>
      </c>
      <c r="D187" s="8" t="s">
        <v>572</v>
      </c>
      <c r="E187" s="8" t="s">
        <v>573</v>
      </c>
      <c r="F187" s="8"/>
      <c r="G187" s="8" t="s">
        <v>62</v>
      </c>
      <c r="H187" s="8" t="s">
        <v>574</v>
      </c>
      <c r="I187" s="9">
        <v>1</v>
      </c>
      <c r="J187" s="8" t="s">
        <v>8</v>
      </c>
      <c r="K187" s="8" t="s">
        <v>2274</v>
      </c>
      <c r="L187" s="283" t="s">
        <v>2273</v>
      </c>
      <c r="M187" s="8"/>
      <c r="N187" s="8"/>
      <c r="O187" s="281" t="s">
        <v>2303</v>
      </c>
      <c r="P187" s="8"/>
      <c r="Q187" s="132"/>
      <c r="R187" s="38"/>
      <c r="S187" s="8"/>
      <c r="T187" s="8"/>
      <c r="U187" s="8"/>
      <c r="V187" s="8"/>
      <c r="W187" s="8"/>
      <c r="X187" s="8"/>
      <c r="Y187" s="8"/>
      <c r="Z187" s="8"/>
      <c r="AA187" s="8"/>
    </row>
    <row r="188" spans="1:51" ht="78.75">
      <c r="A188" s="8" t="s">
        <v>16</v>
      </c>
      <c r="B188" s="29" t="s">
        <v>274</v>
      </c>
      <c r="C188" s="8" t="s">
        <v>571</v>
      </c>
      <c r="D188" s="8" t="s">
        <v>575</v>
      </c>
      <c r="E188" s="8" t="s">
        <v>576</v>
      </c>
      <c r="F188" s="8"/>
      <c r="G188" s="8" t="s">
        <v>62</v>
      </c>
      <c r="H188" s="8" t="s">
        <v>577</v>
      </c>
      <c r="I188" s="9">
        <v>1</v>
      </c>
      <c r="J188" s="8" t="s">
        <v>8</v>
      </c>
      <c r="K188" s="8" t="s">
        <v>2258</v>
      </c>
      <c r="L188" s="283" t="s">
        <v>2273</v>
      </c>
      <c r="M188" s="8"/>
      <c r="N188" s="8"/>
      <c r="O188" s="281" t="s">
        <v>2303</v>
      </c>
      <c r="P188" s="8"/>
      <c r="Q188" s="132"/>
      <c r="R188" s="38"/>
      <c r="S188" s="8"/>
      <c r="T188" s="8"/>
      <c r="U188" s="8"/>
      <c r="V188" s="8"/>
      <c r="W188" s="8"/>
      <c r="X188" s="8"/>
      <c r="Y188" s="8"/>
      <c r="Z188" s="8"/>
      <c r="AA188" s="8"/>
    </row>
    <row r="189" spans="1:51" ht="78.75">
      <c r="A189" s="8" t="s">
        <v>16</v>
      </c>
      <c r="B189" s="29" t="s">
        <v>274</v>
      </c>
      <c r="C189" s="8" t="s">
        <v>571</v>
      </c>
      <c r="D189" s="8" t="s">
        <v>578</v>
      </c>
      <c r="E189" s="8" t="s">
        <v>579</v>
      </c>
      <c r="F189" s="8"/>
      <c r="G189" s="8" t="s">
        <v>62</v>
      </c>
      <c r="H189" s="8" t="s">
        <v>580</v>
      </c>
      <c r="I189" s="9">
        <v>1</v>
      </c>
      <c r="J189" s="8" t="s">
        <v>8</v>
      </c>
      <c r="K189" s="8" t="s">
        <v>2258</v>
      </c>
      <c r="L189" s="283" t="s">
        <v>2273</v>
      </c>
      <c r="M189" s="8"/>
      <c r="N189" s="8"/>
      <c r="O189" s="281" t="s">
        <v>2303</v>
      </c>
      <c r="P189" s="8"/>
      <c r="Q189" s="132"/>
      <c r="R189" s="38"/>
      <c r="S189" s="8"/>
      <c r="T189" s="8"/>
      <c r="U189" s="8"/>
      <c r="V189" s="8"/>
      <c r="W189" s="8"/>
      <c r="X189" s="8"/>
      <c r="Y189" s="8"/>
      <c r="Z189" s="8"/>
      <c r="AA189" s="8"/>
    </row>
    <row r="190" spans="1:51" s="5" customFormat="1" ht="47.25" hidden="1">
      <c r="A190" s="20" t="s">
        <v>16</v>
      </c>
      <c r="B190" s="30" t="s">
        <v>274</v>
      </c>
      <c r="C190" s="19" t="s">
        <v>581</v>
      </c>
      <c r="D190" s="19" t="s">
        <v>582</v>
      </c>
      <c r="E190" s="19" t="s">
        <v>582</v>
      </c>
      <c r="F190" s="19" t="s">
        <v>582</v>
      </c>
      <c r="G190" s="19" t="s">
        <v>582</v>
      </c>
      <c r="H190" s="19" t="s">
        <v>582</v>
      </c>
      <c r="I190" s="19" t="s">
        <v>582</v>
      </c>
      <c r="J190" s="19" t="s">
        <v>582</v>
      </c>
      <c r="K190" s="19" t="s">
        <v>582</v>
      </c>
      <c r="L190" s="19" t="s">
        <v>582</v>
      </c>
      <c r="M190" s="19" t="s">
        <v>582</v>
      </c>
      <c r="N190" s="19" t="s">
        <v>582</v>
      </c>
      <c r="O190" s="19" t="s">
        <v>582</v>
      </c>
      <c r="P190" s="19" t="s">
        <v>582</v>
      </c>
      <c r="Q190" s="48"/>
      <c r="R190" s="44" t="s">
        <v>582</v>
      </c>
      <c r="S190" s="19" t="s">
        <v>582</v>
      </c>
      <c r="T190" s="19" t="s">
        <v>582</v>
      </c>
      <c r="U190" s="19"/>
      <c r="V190" s="19" t="s">
        <v>582</v>
      </c>
      <c r="W190" s="19" t="s">
        <v>582</v>
      </c>
      <c r="X190" s="19" t="s">
        <v>582</v>
      </c>
      <c r="Y190" s="19" t="s">
        <v>582</v>
      </c>
      <c r="Z190" s="19" t="s">
        <v>582</v>
      </c>
      <c r="AA190" s="19" t="s">
        <v>582</v>
      </c>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110.25">
      <c r="A191" s="8" t="s">
        <v>16</v>
      </c>
      <c r="B191" s="29" t="s">
        <v>274</v>
      </c>
      <c r="C191" s="8" t="s">
        <v>583</v>
      </c>
      <c r="D191" s="8" t="s">
        <v>584</v>
      </c>
      <c r="E191" s="8" t="s">
        <v>585</v>
      </c>
      <c r="F191" s="8"/>
      <c r="G191" s="8" t="s">
        <v>62</v>
      </c>
      <c r="H191" s="8" t="s">
        <v>586</v>
      </c>
      <c r="I191" s="9">
        <v>1</v>
      </c>
      <c r="J191" s="8" t="s">
        <v>8</v>
      </c>
      <c r="K191" s="8" t="s">
        <v>2476</v>
      </c>
      <c r="L191" s="283" t="s">
        <v>2273</v>
      </c>
      <c r="M191" s="8"/>
      <c r="N191" s="8"/>
      <c r="O191" s="281" t="s">
        <v>2303</v>
      </c>
      <c r="P191" s="8" t="s">
        <v>2357</v>
      </c>
      <c r="Q191" s="132"/>
      <c r="R191" s="38"/>
      <c r="S191" s="8"/>
      <c r="T191" s="8"/>
      <c r="U191" s="8"/>
      <c r="V191" s="8"/>
      <c r="W191" s="8"/>
      <c r="X191" s="8"/>
      <c r="Y191" s="8"/>
      <c r="Z191" s="8"/>
      <c r="AA191" s="8"/>
    </row>
    <row r="192" spans="1:51" ht="63">
      <c r="A192" s="8" t="s">
        <v>16</v>
      </c>
      <c r="B192" s="29" t="s">
        <v>587</v>
      </c>
      <c r="C192" s="8" t="s">
        <v>588</v>
      </c>
      <c r="D192" s="8" t="s">
        <v>589</v>
      </c>
      <c r="E192" s="8" t="s">
        <v>590</v>
      </c>
      <c r="F192" s="8"/>
      <c r="G192" s="8" t="s">
        <v>62</v>
      </c>
      <c r="H192" s="8" t="s">
        <v>591</v>
      </c>
      <c r="I192" s="9">
        <v>1</v>
      </c>
      <c r="J192" s="8" t="s">
        <v>8</v>
      </c>
      <c r="K192" s="8" t="s">
        <v>2466</v>
      </c>
      <c r="L192" s="283" t="s">
        <v>2273</v>
      </c>
      <c r="M192" s="8"/>
      <c r="N192" s="8"/>
      <c r="O192" s="281" t="s">
        <v>2303</v>
      </c>
      <c r="P192" s="8" t="s">
        <v>2477</v>
      </c>
      <c r="Q192" s="132"/>
      <c r="R192" s="38"/>
      <c r="S192" s="8"/>
      <c r="T192" s="8"/>
      <c r="U192" s="8"/>
      <c r="V192" s="8"/>
      <c r="W192" s="8"/>
      <c r="X192" s="8"/>
      <c r="Y192" s="8"/>
      <c r="Z192" s="8"/>
      <c r="AA192" s="8"/>
    </row>
    <row r="193" spans="1:27" ht="56.25">
      <c r="A193" s="8" t="s">
        <v>16</v>
      </c>
      <c r="B193" s="29" t="s">
        <v>587</v>
      </c>
      <c r="C193" s="8" t="s">
        <v>588</v>
      </c>
      <c r="D193" s="8" t="s">
        <v>592</v>
      </c>
      <c r="E193" s="8" t="s">
        <v>351</v>
      </c>
      <c r="F193" s="20"/>
      <c r="G193" s="20" t="s">
        <v>62</v>
      </c>
      <c r="H193" s="20" t="s">
        <v>352</v>
      </c>
      <c r="I193" s="22">
        <v>1</v>
      </c>
      <c r="J193" s="20"/>
      <c r="K193" s="20"/>
      <c r="L193" s="278"/>
      <c r="M193" s="20"/>
      <c r="N193" s="20"/>
      <c r="O193" s="279"/>
      <c r="P193" s="20"/>
      <c r="Q193" s="132"/>
      <c r="R193" s="39"/>
      <c r="S193" s="20"/>
      <c r="T193" s="20"/>
      <c r="U193" s="20"/>
      <c r="V193" s="20"/>
      <c r="W193" s="20"/>
      <c r="X193" s="20"/>
      <c r="Y193" s="20"/>
      <c r="Z193" s="20"/>
      <c r="AA193" s="20"/>
    </row>
    <row r="194" spans="1:27" ht="94.5">
      <c r="A194" s="8" t="s">
        <v>16</v>
      </c>
      <c r="B194" s="29" t="s">
        <v>587</v>
      </c>
      <c r="C194" s="8" t="s">
        <v>588</v>
      </c>
      <c r="D194" s="8" t="s">
        <v>593</v>
      </c>
      <c r="E194" s="69" t="s">
        <v>594</v>
      </c>
      <c r="F194" s="8"/>
      <c r="G194" s="8" t="s">
        <v>62</v>
      </c>
      <c r="H194" s="8" t="s">
        <v>352</v>
      </c>
      <c r="I194" s="9">
        <v>1</v>
      </c>
      <c r="J194" s="8" t="s">
        <v>8</v>
      </c>
      <c r="K194" s="8" t="s">
        <v>2478</v>
      </c>
      <c r="L194" s="283" t="s">
        <v>2273</v>
      </c>
      <c r="M194" s="8"/>
      <c r="N194" s="8"/>
      <c r="O194" s="281" t="s">
        <v>2303</v>
      </c>
      <c r="P194" s="8" t="s">
        <v>2477</v>
      </c>
      <c r="Q194" s="132"/>
      <c r="R194" s="38"/>
      <c r="S194" s="8"/>
      <c r="T194" s="8"/>
      <c r="U194" s="8"/>
      <c r="V194" s="8"/>
      <c r="W194" s="8"/>
      <c r="X194" s="8"/>
      <c r="Y194" s="8"/>
      <c r="Z194" s="8"/>
      <c r="AA194" s="8"/>
    </row>
    <row r="195" spans="1:27" ht="56.25">
      <c r="A195" s="8" t="s">
        <v>16</v>
      </c>
      <c r="B195" s="29" t="s">
        <v>587</v>
      </c>
      <c r="C195" s="8" t="s">
        <v>588</v>
      </c>
      <c r="D195" s="8" t="s">
        <v>593</v>
      </c>
      <c r="E195" s="69" t="s">
        <v>595</v>
      </c>
      <c r="F195" s="8"/>
      <c r="G195" s="8" t="s">
        <v>62</v>
      </c>
      <c r="H195" s="8" t="s">
        <v>352</v>
      </c>
      <c r="I195" s="9">
        <v>1</v>
      </c>
      <c r="J195" s="8" t="s">
        <v>8</v>
      </c>
      <c r="K195" s="8" t="s">
        <v>2258</v>
      </c>
      <c r="L195" s="283" t="s">
        <v>2273</v>
      </c>
      <c r="M195" s="8"/>
      <c r="N195" s="8"/>
      <c r="O195" s="281" t="s">
        <v>2303</v>
      </c>
      <c r="P195" s="8" t="s">
        <v>2258</v>
      </c>
      <c r="Q195" s="132"/>
      <c r="R195" s="38"/>
      <c r="S195" s="8"/>
      <c r="T195" s="8"/>
      <c r="U195" s="8"/>
      <c r="V195" s="8"/>
      <c r="W195" s="8"/>
      <c r="X195" s="8"/>
      <c r="Y195" s="8"/>
      <c r="Z195" s="8"/>
      <c r="AA195" s="8"/>
    </row>
    <row r="196" spans="1:27" ht="56.25">
      <c r="A196" s="8" t="s">
        <v>16</v>
      </c>
      <c r="B196" s="29" t="s">
        <v>587</v>
      </c>
      <c r="C196" s="8" t="s">
        <v>588</v>
      </c>
      <c r="D196" s="8" t="s">
        <v>593</v>
      </c>
      <c r="E196" s="69" t="s">
        <v>596</v>
      </c>
      <c r="F196" s="8"/>
      <c r="G196" s="8" t="s">
        <v>62</v>
      </c>
      <c r="H196" s="8" t="s">
        <v>352</v>
      </c>
      <c r="I196" s="9">
        <v>1</v>
      </c>
      <c r="J196" s="8" t="s">
        <v>8</v>
      </c>
      <c r="K196" s="8" t="s">
        <v>2258</v>
      </c>
      <c r="L196" s="283" t="s">
        <v>2273</v>
      </c>
      <c r="M196" s="8"/>
      <c r="N196" s="8"/>
      <c r="O196" s="281" t="s">
        <v>2303</v>
      </c>
      <c r="P196" s="8" t="s">
        <v>2258</v>
      </c>
      <c r="Q196" s="132"/>
      <c r="R196" s="38"/>
      <c r="S196" s="8"/>
      <c r="T196" s="8"/>
      <c r="U196" s="8"/>
      <c r="V196" s="8"/>
      <c r="W196" s="8"/>
      <c r="X196" s="8"/>
      <c r="Y196" s="8"/>
      <c r="Z196" s="8"/>
      <c r="AA196" s="8"/>
    </row>
    <row r="197" spans="1:27" ht="56.25">
      <c r="A197" s="8" t="s">
        <v>16</v>
      </c>
      <c r="B197" s="29" t="s">
        <v>587</v>
      </c>
      <c r="C197" s="8" t="s">
        <v>588</v>
      </c>
      <c r="D197" s="8" t="s">
        <v>593</v>
      </c>
      <c r="E197" s="69" t="s">
        <v>597</v>
      </c>
      <c r="F197" s="8"/>
      <c r="G197" s="8" t="s">
        <v>62</v>
      </c>
      <c r="H197" s="8" t="s">
        <v>352</v>
      </c>
      <c r="I197" s="9">
        <v>1</v>
      </c>
      <c r="J197" s="8" t="s">
        <v>8</v>
      </c>
      <c r="K197" s="8" t="s">
        <v>2258</v>
      </c>
      <c r="L197" s="283" t="s">
        <v>2273</v>
      </c>
      <c r="M197" s="8"/>
      <c r="N197" s="8"/>
      <c r="O197" s="281" t="s">
        <v>2303</v>
      </c>
      <c r="P197" s="8" t="s">
        <v>2258</v>
      </c>
      <c r="Q197" s="132"/>
      <c r="R197" s="38"/>
      <c r="S197" s="8"/>
      <c r="T197" s="8"/>
      <c r="U197" s="8"/>
      <c r="V197" s="8"/>
      <c r="W197" s="8"/>
      <c r="X197" s="8"/>
      <c r="Y197" s="8"/>
      <c r="Z197" s="8"/>
      <c r="AA197" s="8"/>
    </row>
    <row r="198" spans="1:27" ht="56.25">
      <c r="A198" s="8" t="s">
        <v>16</v>
      </c>
      <c r="B198" s="29" t="s">
        <v>587</v>
      </c>
      <c r="C198" s="8" t="s">
        <v>588</v>
      </c>
      <c r="D198" s="8" t="s">
        <v>598</v>
      </c>
      <c r="E198" s="69" t="s">
        <v>599</v>
      </c>
      <c r="F198" s="8"/>
      <c r="G198" s="8" t="s">
        <v>62</v>
      </c>
      <c r="H198" s="8" t="s">
        <v>352</v>
      </c>
      <c r="I198" s="9">
        <v>1</v>
      </c>
      <c r="J198" s="8" t="s">
        <v>8</v>
      </c>
      <c r="K198" s="8" t="s">
        <v>2258</v>
      </c>
      <c r="L198" s="283" t="s">
        <v>2273</v>
      </c>
      <c r="M198" s="8"/>
      <c r="N198" s="8"/>
      <c r="O198" s="281" t="s">
        <v>2303</v>
      </c>
      <c r="P198" s="8" t="s">
        <v>2258</v>
      </c>
      <c r="Q198" s="132"/>
      <c r="R198" s="38"/>
      <c r="S198" s="8"/>
      <c r="T198" s="8"/>
      <c r="U198" s="8"/>
      <c r="V198" s="8"/>
      <c r="W198" s="8"/>
      <c r="X198" s="8"/>
      <c r="Y198" s="8"/>
      <c r="Z198" s="8"/>
      <c r="AA198" s="8"/>
    </row>
    <row r="199" spans="1:27" ht="56.25">
      <c r="A199" s="8" t="s">
        <v>16</v>
      </c>
      <c r="B199" s="29" t="s">
        <v>587</v>
      </c>
      <c r="C199" s="8" t="s">
        <v>588</v>
      </c>
      <c r="D199" s="8" t="s">
        <v>600</v>
      </c>
      <c r="E199" s="69" t="s">
        <v>601</v>
      </c>
      <c r="F199" s="8"/>
      <c r="G199" s="8" t="s">
        <v>62</v>
      </c>
      <c r="H199" s="8" t="s">
        <v>352</v>
      </c>
      <c r="I199" s="9">
        <v>1</v>
      </c>
      <c r="J199" s="8" t="s">
        <v>8</v>
      </c>
      <c r="K199" s="8" t="s">
        <v>2466</v>
      </c>
      <c r="L199" s="283" t="s">
        <v>2273</v>
      </c>
      <c r="M199" s="8"/>
      <c r="N199" s="8"/>
      <c r="O199" s="281" t="s">
        <v>2303</v>
      </c>
      <c r="P199" s="8" t="s">
        <v>2258</v>
      </c>
      <c r="Q199" s="132"/>
      <c r="R199" s="38"/>
      <c r="S199" s="8"/>
      <c r="T199" s="8"/>
      <c r="U199" s="8"/>
      <c r="V199" s="8"/>
      <c r="W199" s="8"/>
      <c r="X199" s="8"/>
      <c r="Y199" s="8"/>
      <c r="Z199" s="8"/>
      <c r="AA199" s="8"/>
    </row>
    <row r="200" spans="1:27" ht="56.25">
      <c r="A200" s="8" t="s">
        <v>16</v>
      </c>
      <c r="B200" s="29" t="s">
        <v>587</v>
      </c>
      <c r="C200" s="8" t="s">
        <v>588</v>
      </c>
      <c r="D200" s="8" t="s">
        <v>602</v>
      </c>
      <c r="E200" s="69" t="s">
        <v>603</v>
      </c>
      <c r="F200" s="8"/>
      <c r="G200" s="8" t="s">
        <v>62</v>
      </c>
      <c r="H200" s="8" t="s">
        <v>352</v>
      </c>
      <c r="I200" s="9">
        <v>1</v>
      </c>
      <c r="J200" s="8" t="s">
        <v>8</v>
      </c>
      <c r="K200" s="8" t="s">
        <v>2258</v>
      </c>
      <c r="L200" s="283" t="s">
        <v>2273</v>
      </c>
      <c r="M200" s="8"/>
      <c r="N200" s="8"/>
      <c r="O200" s="281" t="s">
        <v>2303</v>
      </c>
      <c r="P200" s="8" t="s">
        <v>2258</v>
      </c>
      <c r="Q200" s="132"/>
      <c r="R200" s="38"/>
      <c r="S200" s="8"/>
      <c r="T200" s="8"/>
      <c r="U200" s="8"/>
      <c r="V200" s="8"/>
      <c r="W200" s="8"/>
      <c r="X200" s="8"/>
      <c r="Y200" s="8"/>
      <c r="Z200" s="8"/>
      <c r="AA200" s="8"/>
    </row>
    <row r="201" spans="1:27" ht="56.25">
      <c r="A201" s="8" t="s">
        <v>16</v>
      </c>
      <c r="B201" s="29" t="s">
        <v>587</v>
      </c>
      <c r="C201" s="8" t="s">
        <v>588</v>
      </c>
      <c r="D201" s="8" t="s">
        <v>604</v>
      </c>
      <c r="E201" s="69" t="s">
        <v>605</v>
      </c>
      <c r="F201" s="8"/>
      <c r="G201" s="8" t="s">
        <v>62</v>
      </c>
      <c r="H201" s="8" t="s">
        <v>352</v>
      </c>
      <c r="I201" s="9">
        <v>1</v>
      </c>
      <c r="J201" s="8" t="s">
        <v>8</v>
      </c>
      <c r="K201" s="8" t="s">
        <v>2258</v>
      </c>
      <c r="L201" s="283" t="s">
        <v>2273</v>
      </c>
      <c r="M201" s="8"/>
      <c r="N201" s="8"/>
      <c r="O201" s="281" t="s">
        <v>2303</v>
      </c>
      <c r="P201" s="8" t="s">
        <v>2258</v>
      </c>
      <c r="Q201" s="132"/>
      <c r="R201" s="38"/>
      <c r="S201" s="8"/>
      <c r="T201" s="8"/>
      <c r="U201" s="8"/>
      <c r="V201" s="8"/>
      <c r="W201" s="8"/>
      <c r="X201" s="8"/>
      <c r="Y201" s="8"/>
      <c r="Z201" s="8"/>
      <c r="AA201" s="8"/>
    </row>
    <row r="202" spans="1:27" ht="56.25">
      <c r="A202" s="8" t="s">
        <v>16</v>
      </c>
      <c r="B202" s="29" t="s">
        <v>587</v>
      </c>
      <c r="C202" s="8" t="s">
        <v>588</v>
      </c>
      <c r="D202" s="8" t="s">
        <v>606</v>
      </c>
      <c r="E202" s="69" t="s">
        <v>607</v>
      </c>
      <c r="F202" s="8"/>
      <c r="G202" s="8" t="s">
        <v>62</v>
      </c>
      <c r="H202" s="8" t="s">
        <v>352</v>
      </c>
      <c r="I202" s="9">
        <v>1</v>
      </c>
      <c r="J202" s="8" t="s">
        <v>8</v>
      </c>
      <c r="K202" s="8" t="s">
        <v>2258</v>
      </c>
      <c r="L202" s="283" t="s">
        <v>2273</v>
      </c>
      <c r="M202" s="8"/>
      <c r="N202" s="8"/>
      <c r="O202" s="281" t="s">
        <v>2303</v>
      </c>
      <c r="P202" s="8" t="s">
        <v>2258</v>
      </c>
      <c r="Q202" s="132"/>
      <c r="R202" s="38"/>
      <c r="S202" s="8"/>
      <c r="T202" s="8"/>
      <c r="U202" s="8"/>
      <c r="V202" s="8"/>
      <c r="W202" s="8"/>
      <c r="X202" s="8"/>
      <c r="Y202" s="8"/>
      <c r="Z202" s="8"/>
      <c r="AA202" s="8"/>
    </row>
    <row r="203" spans="1:27" ht="56.25">
      <c r="A203" s="8" t="s">
        <v>16</v>
      </c>
      <c r="B203" s="29" t="s">
        <v>587</v>
      </c>
      <c r="C203" s="8" t="s">
        <v>588</v>
      </c>
      <c r="D203" s="8" t="s">
        <v>608</v>
      </c>
      <c r="E203" s="69" t="s">
        <v>609</v>
      </c>
      <c r="F203" s="8"/>
      <c r="G203" s="8" t="s">
        <v>62</v>
      </c>
      <c r="H203" s="8" t="s">
        <v>352</v>
      </c>
      <c r="I203" s="9">
        <v>1</v>
      </c>
      <c r="J203" s="8" t="s">
        <v>8</v>
      </c>
      <c r="K203" s="8" t="s">
        <v>2258</v>
      </c>
      <c r="L203" s="283" t="s">
        <v>2273</v>
      </c>
      <c r="M203" s="8"/>
      <c r="N203" s="8"/>
      <c r="O203" s="281" t="s">
        <v>2303</v>
      </c>
      <c r="P203" s="8" t="s">
        <v>2258</v>
      </c>
      <c r="Q203" s="132"/>
      <c r="R203" s="38"/>
      <c r="S203" s="8"/>
      <c r="T203" s="8"/>
      <c r="U203" s="8"/>
      <c r="V203" s="8"/>
      <c r="W203" s="8"/>
      <c r="X203" s="8"/>
      <c r="Y203" s="8"/>
      <c r="Z203" s="8"/>
      <c r="AA203" s="8"/>
    </row>
    <row r="204" spans="1:27" ht="94.5">
      <c r="A204" s="8" t="s">
        <v>16</v>
      </c>
      <c r="B204" s="29" t="s">
        <v>587</v>
      </c>
      <c r="C204" s="8" t="s">
        <v>588</v>
      </c>
      <c r="D204" s="8" t="s">
        <v>610</v>
      </c>
      <c r="E204" s="8" t="s">
        <v>611</v>
      </c>
      <c r="F204" s="8"/>
      <c r="G204" s="8" t="s">
        <v>62</v>
      </c>
      <c r="H204" s="8" t="s">
        <v>612</v>
      </c>
      <c r="I204" s="8" t="s">
        <v>110</v>
      </c>
      <c r="J204" s="8" t="s">
        <v>8</v>
      </c>
      <c r="K204" s="8" t="s">
        <v>2478</v>
      </c>
      <c r="L204" s="283" t="s">
        <v>2273</v>
      </c>
      <c r="M204" s="8"/>
      <c r="N204" s="8"/>
      <c r="O204" s="281" t="s">
        <v>2303</v>
      </c>
      <c r="P204" s="8" t="s">
        <v>2258</v>
      </c>
      <c r="Q204" s="132"/>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289"/>
      <c r="M205" s="14"/>
      <c r="N205" s="14"/>
      <c r="O205" s="290"/>
      <c r="P205" s="14"/>
      <c r="Q205" s="305"/>
      <c r="R205" s="42"/>
      <c r="S205" s="14"/>
      <c r="T205" s="14"/>
      <c r="U205" s="14"/>
      <c r="V205" s="14"/>
      <c r="W205" s="14"/>
      <c r="X205" s="14"/>
      <c r="Y205" s="14"/>
      <c r="Z205" s="14"/>
      <c r="AA205" s="14"/>
    </row>
    <row r="206" spans="1:27" ht="78.75">
      <c r="A206" s="8" t="s">
        <v>16</v>
      </c>
      <c r="B206" s="29" t="s">
        <v>587</v>
      </c>
      <c r="C206" s="8" t="s">
        <v>613</v>
      </c>
      <c r="D206" s="8" t="s">
        <v>617</v>
      </c>
      <c r="E206" s="8" t="s">
        <v>615</v>
      </c>
      <c r="F206" s="8"/>
      <c r="G206" s="8" t="s">
        <v>58</v>
      </c>
      <c r="H206" s="8" t="s">
        <v>428</v>
      </c>
      <c r="I206" s="9">
        <v>1</v>
      </c>
      <c r="J206" s="8" t="s">
        <v>8</v>
      </c>
      <c r="K206" s="8" t="s">
        <v>2258</v>
      </c>
      <c r="L206" s="283" t="s">
        <v>2273</v>
      </c>
      <c r="M206" s="8"/>
      <c r="N206" s="8"/>
      <c r="O206" s="281" t="s">
        <v>2303</v>
      </c>
      <c r="P206" s="8" t="s">
        <v>2258</v>
      </c>
      <c r="Q206" s="132"/>
      <c r="R206" s="38"/>
      <c r="S206" s="8"/>
      <c r="T206" s="8"/>
      <c r="U206" s="8"/>
      <c r="V206" s="8"/>
      <c r="W206" s="8"/>
      <c r="X206" s="8"/>
      <c r="Y206" s="8"/>
      <c r="Z206" s="8"/>
      <c r="AA206" s="8"/>
    </row>
    <row r="207" spans="1:27" ht="63" hidden="1">
      <c r="A207" s="8" t="s">
        <v>16</v>
      </c>
      <c r="B207" s="29" t="s">
        <v>587</v>
      </c>
      <c r="C207" s="8" t="s">
        <v>613</v>
      </c>
      <c r="D207" s="8" t="s">
        <v>618</v>
      </c>
      <c r="E207" s="8" t="s">
        <v>619</v>
      </c>
      <c r="F207" s="8"/>
      <c r="G207" s="8" t="s">
        <v>71</v>
      </c>
      <c r="H207" s="8" t="s">
        <v>432</v>
      </c>
      <c r="I207" s="8">
        <v>2030</v>
      </c>
      <c r="J207" s="8"/>
      <c r="K207" s="8"/>
      <c r="L207" s="283"/>
      <c r="M207" s="8"/>
      <c r="N207" s="8"/>
      <c r="O207" s="281"/>
      <c r="P207" s="8"/>
      <c r="Q207" s="132"/>
      <c r="R207" s="38"/>
      <c r="S207" s="8"/>
      <c r="T207" s="8"/>
      <c r="U207" s="8"/>
      <c r="V207" s="8"/>
      <c r="W207" s="8"/>
      <c r="X207" s="8"/>
      <c r="Y207" s="8"/>
      <c r="Z207" s="8"/>
      <c r="AA207" s="8"/>
    </row>
    <row r="208" spans="1:27" ht="78.75">
      <c r="A208" s="8" t="s">
        <v>16</v>
      </c>
      <c r="B208" s="29" t="s">
        <v>587</v>
      </c>
      <c r="C208" s="8" t="s">
        <v>620</v>
      </c>
      <c r="D208" s="8" t="s">
        <v>621</v>
      </c>
      <c r="E208" s="8" t="s">
        <v>622</v>
      </c>
      <c r="F208" s="8"/>
      <c r="G208" s="8" t="s">
        <v>58</v>
      </c>
      <c r="H208" s="8" t="s">
        <v>623</v>
      </c>
      <c r="I208" s="9">
        <v>1</v>
      </c>
      <c r="J208" s="8" t="s">
        <v>8</v>
      </c>
      <c r="K208" s="8" t="s">
        <v>2466</v>
      </c>
      <c r="L208" s="283" t="s">
        <v>2273</v>
      </c>
      <c r="M208" s="8"/>
      <c r="N208" s="8"/>
      <c r="O208" s="281" t="s">
        <v>2303</v>
      </c>
      <c r="P208" s="8" t="s">
        <v>2258</v>
      </c>
      <c r="Q208" s="132"/>
      <c r="R208" s="38"/>
      <c r="S208" s="8"/>
      <c r="T208" s="8"/>
      <c r="U208" s="8"/>
      <c r="V208" s="8"/>
      <c r="W208" s="8"/>
      <c r="X208" s="8"/>
      <c r="Y208" s="8"/>
      <c r="Z208" s="8"/>
      <c r="AA208" s="8"/>
    </row>
    <row r="209" spans="1:27" ht="78.75">
      <c r="A209" s="8" t="s">
        <v>16</v>
      </c>
      <c r="B209" s="29" t="s">
        <v>587</v>
      </c>
      <c r="C209" s="8" t="s">
        <v>624</v>
      </c>
      <c r="D209" s="8" t="s">
        <v>625</v>
      </c>
      <c r="E209" s="8" t="s">
        <v>626</v>
      </c>
      <c r="F209" s="8"/>
      <c r="G209" s="8" t="s">
        <v>62</v>
      </c>
      <c r="H209" s="8" t="s">
        <v>627</v>
      </c>
      <c r="I209" s="9">
        <v>0.5</v>
      </c>
      <c r="J209" s="8" t="s">
        <v>8</v>
      </c>
      <c r="K209" s="8" t="s">
        <v>2479</v>
      </c>
      <c r="L209" s="283" t="s">
        <v>2273</v>
      </c>
      <c r="M209" s="8"/>
      <c r="N209" s="8"/>
      <c r="O209" s="281" t="s">
        <v>2303</v>
      </c>
      <c r="P209" s="8" t="s">
        <v>2258</v>
      </c>
      <c r="Q209" s="132"/>
      <c r="R209" s="38"/>
      <c r="S209" s="8"/>
      <c r="T209" s="8"/>
      <c r="U209" s="8"/>
      <c r="V209" s="8"/>
      <c r="W209" s="8"/>
      <c r="X209" s="8"/>
      <c r="Y209" s="8"/>
      <c r="Z209" s="8"/>
      <c r="AA209" s="8"/>
    </row>
    <row r="210" spans="1:27" ht="78.75">
      <c r="A210" s="8" t="s">
        <v>16</v>
      </c>
      <c r="B210" s="29" t="s">
        <v>587</v>
      </c>
      <c r="C210" s="8" t="s">
        <v>624</v>
      </c>
      <c r="D210" s="8" t="s">
        <v>628</v>
      </c>
      <c r="E210" s="8" t="s">
        <v>629</v>
      </c>
      <c r="F210" s="8"/>
      <c r="G210" s="8" t="s">
        <v>62</v>
      </c>
      <c r="H210" s="8" t="s">
        <v>476</v>
      </c>
      <c r="I210" s="8" t="s">
        <v>210</v>
      </c>
      <c r="J210" s="8" t="s">
        <v>8</v>
      </c>
      <c r="K210" s="8" t="s">
        <v>2258</v>
      </c>
      <c r="L210" s="283" t="s">
        <v>2273</v>
      </c>
      <c r="M210" s="8"/>
      <c r="N210" s="8"/>
      <c r="O210" s="281" t="s">
        <v>2303</v>
      </c>
      <c r="P210" s="8" t="s">
        <v>2258</v>
      </c>
      <c r="Q210" s="132"/>
      <c r="R210" s="38"/>
      <c r="S210" s="8"/>
      <c r="T210" s="8"/>
      <c r="U210" s="8"/>
      <c r="V210" s="8"/>
      <c r="W210" s="8"/>
      <c r="X210" s="8"/>
      <c r="Y210" s="8"/>
      <c r="Z210" s="8"/>
      <c r="AA210" s="8"/>
    </row>
    <row r="211" spans="1:27" ht="94.5">
      <c r="A211" s="8" t="s">
        <v>16</v>
      </c>
      <c r="B211" s="29" t="s">
        <v>587</v>
      </c>
      <c r="C211" s="8" t="s">
        <v>624</v>
      </c>
      <c r="D211" s="8" t="s">
        <v>630</v>
      </c>
      <c r="E211" s="8" t="s">
        <v>631</v>
      </c>
      <c r="F211" s="8"/>
      <c r="G211" s="8" t="s">
        <v>62</v>
      </c>
      <c r="H211" s="8" t="s">
        <v>476</v>
      </c>
      <c r="I211" s="8" t="s">
        <v>210</v>
      </c>
      <c r="J211" s="8" t="s">
        <v>8</v>
      </c>
      <c r="K211" s="8" t="s">
        <v>2480</v>
      </c>
      <c r="L211" s="283" t="s">
        <v>2273</v>
      </c>
      <c r="M211" s="8"/>
      <c r="N211" s="8"/>
      <c r="O211" s="281" t="s">
        <v>2303</v>
      </c>
      <c r="P211" s="8" t="s">
        <v>2258</v>
      </c>
      <c r="Q211" s="132"/>
      <c r="R211" s="38"/>
      <c r="S211" s="8"/>
      <c r="T211" s="8"/>
      <c r="U211" s="8"/>
      <c r="V211" s="8"/>
      <c r="W211" s="8"/>
      <c r="X211" s="8"/>
      <c r="Y211" s="8"/>
      <c r="Z211" s="8"/>
      <c r="AA211" s="8"/>
    </row>
    <row r="212" spans="1:27" ht="252">
      <c r="A212" s="8" t="s">
        <v>16</v>
      </c>
      <c r="B212" s="29" t="s">
        <v>587</v>
      </c>
      <c r="C212" s="8" t="s">
        <v>624</v>
      </c>
      <c r="D212" s="8" t="s">
        <v>632</v>
      </c>
      <c r="E212" s="8" t="s">
        <v>633</v>
      </c>
      <c r="F212" s="8"/>
      <c r="G212" s="8" t="s">
        <v>62</v>
      </c>
      <c r="H212" s="8" t="s">
        <v>634</v>
      </c>
      <c r="I212" s="9">
        <v>1</v>
      </c>
      <c r="J212" s="8" t="s">
        <v>8</v>
      </c>
      <c r="K212" s="8" t="s">
        <v>2258</v>
      </c>
      <c r="L212" s="283" t="s">
        <v>2273</v>
      </c>
      <c r="M212" s="8"/>
      <c r="N212" s="8"/>
      <c r="O212" s="281" t="s">
        <v>2303</v>
      </c>
      <c r="P212" s="8" t="s">
        <v>2258</v>
      </c>
      <c r="Q212" s="132"/>
      <c r="R212" s="38"/>
      <c r="S212" s="8"/>
      <c r="T212" s="8"/>
      <c r="U212" s="8"/>
      <c r="V212" s="8"/>
      <c r="W212" s="8"/>
      <c r="X212" s="8"/>
      <c r="Y212" s="8"/>
      <c r="Z212" s="8"/>
      <c r="AA212" s="8"/>
    </row>
    <row r="213" spans="1:27" ht="78.75" hidden="1">
      <c r="A213" s="8" t="s">
        <v>16</v>
      </c>
      <c r="B213" s="29" t="s">
        <v>587</v>
      </c>
      <c r="C213" s="8" t="s">
        <v>624</v>
      </c>
      <c r="D213" s="8" t="s">
        <v>635</v>
      </c>
      <c r="E213" s="8" t="s">
        <v>636</v>
      </c>
      <c r="F213" s="8"/>
      <c r="G213" s="8" t="s">
        <v>71</v>
      </c>
      <c r="H213" s="8" t="s">
        <v>637</v>
      </c>
      <c r="I213" s="8" t="s">
        <v>638</v>
      </c>
      <c r="J213" s="8"/>
      <c r="K213" s="8"/>
      <c r="L213" s="283"/>
      <c r="M213" s="8"/>
      <c r="N213" s="8"/>
      <c r="O213" s="281"/>
      <c r="P213" s="8"/>
      <c r="Q213" s="132"/>
      <c r="R213" s="38"/>
      <c r="S213" s="8"/>
      <c r="T213" s="8"/>
      <c r="U213" s="8"/>
      <c r="V213" s="8"/>
      <c r="W213" s="8"/>
      <c r="X213" s="8"/>
      <c r="Y213" s="8"/>
      <c r="Z213" s="8"/>
      <c r="AA213" s="8"/>
    </row>
    <row r="214" spans="1:27">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26">
      <c r="A215" s="8" t="s">
        <v>18</v>
      </c>
      <c r="B215" s="29" t="s">
        <v>54</v>
      </c>
      <c r="C215" s="8" t="s">
        <v>640</v>
      </c>
      <c r="D215" s="8" t="s">
        <v>641</v>
      </c>
      <c r="E215" s="8" t="s">
        <v>642</v>
      </c>
      <c r="F215" s="8"/>
      <c r="G215" s="8" t="s">
        <v>62</v>
      </c>
      <c r="H215" s="8" t="s">
        <v>484</v>
      </c>
      <c r="I215" s="8" t="s">
        <v>485</v>
      </c>
      <c r="J215" s="8" t="s">
        <v>8</v>
      </c>
      <c r="K215" s="8" t="s">
        <v>2481</v>
      </c>
      <c r="L215" s="283" t="s">
        <v>2273</v>
      </c>
      <c r="M215" s="8"/>
      <c r="N215" s="8"/>
      <c r="O215" s="281" t="s">
        <v>2303</v>
      </c>
      <c r="P215" s="8" t="s">
        <v>2477</v>
      </c>
      <c r="Q215" s="132"/>
      <c r="R215" s="38"/>
      <c r="S215" s="8"/>
      <c r="T215" s="8"/>
      <c r="U215" s="8"/>
      <c r="V215" s="8"/>
      <c r="W215" s="8"/>
      <c r="X215" s="8"/>
      <c r="Y215" s="8"/>
      <c r="Z215" s="8"/>
      <c r="AA215" s="8"/>
    </row>
    <row r="216" spans="1:27" ht="63">
      <c r="A216" s="8" t="s">
        <v>18</v>
      </c>
      <c r="B216" s="29" t="s">
        <v>54</v>
      </c>
      <c r="C216" s="8" t="s">
        <v>643</v>
      </c>
      <c r="D216" s="8" t="s">
        <v>644</v>
      </c>
      <c r="E216" s="8" t="s">
        <v>645</v>
      </c>
      <c r="F216" s="8"/>
      <c r="G216" s="8" t="s">
        <v>62</v>
      </c>
      <c r="H216" s="8" t="s">
        <v>646</v>
      </c>
      <c r="I216" s="8" t="s">
        <v>85</v>
      </c>
      <c r="J216" s="8" t="s">
        <v>8</v>
      </c>
      <c r="K216" s="8" t="s">
        <v>2258</v>
      </c>
      <c r="L216" s="283"/>
      <c r="M216" s="8"/>
      <c r="N216" s="8"/>
      <c r="O216" s="281" t="s">
        <v>2303</v>
      </c>
      <c r="P216" s="8" t="s">
        <v>2258</v>
      </c>
      <c r="Q216" s="132"/>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283"/>
      <c r="M217" s="8"/>
      <c r="N217" s="8"/>
      <c r="O217" s="281"/>
      <c r="P217" s="8"/>
      <c r="Q217" s="132"/>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283"/>
      <c r="M218" s="8"/>
      <c r="N218" s="8"/>
      <c r="O218" s="281"/>
      <c r="P218" s="8"/>
      <c r="Q218" s="132"/>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283"/>
      <c r="M219" s="8"/>
      <c r="N219" s="8"/>
      <c r="O219" s="281"/>
      <c r="P219" s="8"/>
      <c r="Q219" s="132"/>
      <c r="R219" s="38"/>
      <c r="S219" s="8"/>
      <c r="T219" s="8"/>
      <c r="U219" s="8"/>
      <c r="V219" s="8"/>
      <c r="W219" s="8"/>
      <c r="X219" s="8"/>
      <c r="Y219" s="8"/>
      <c r="Z219" s="8"/>
      <c r="AA219" s="8"/>
    </row>
    <row r="220" spans="1:27" ht="63">
      <c r="A220" s="8" t="s">
        <v>18</v>
      </c>
      <c r="B220" s="29" t="s">
        <v>54</v>
      </c>
      <c r="C220" s="8" t="s">
        <v>643</v>
      </c>
      <c r="D220" s="8" t="s">
        <v>656</v>
      </c>
      <c r="E220" s="8" t="s">
        <v>657</v>
      </c>
      <c r="F220" s="8"/>
      <c r="G220" s="8" t="s">
        <v>62</v>
      </c>
      <c r="H220" s="8" t="s">
        <v>658</v>
      </c>
      <c r="I220" s="8" t="s">
        <v>659</v>
      </c>
      <c r="J220" s="8" t="s">
        <v>8</v>
      </c>
      <c r="K220" s="8" t="s">
        <v>2258</v>
      </c>
      <c r="L220" s="283"/>
      <c r="M220" s="8"/>
      <c r="N220" s="8"/>
      <c r="O220" s="281" t="s">
        <v>2303</v>
      </c>
      <c r="P220" s="8" t="s">
        <v>2258</v>
      </c>
      <c r="Q220" s="132"/>
      <c r="R220" s="38"/>
      <c r="S220" s="8"/>
      <c r="T220" s="8"/>
      <c r="U220" s="8"/>
      <c r="V220" s="8"/>
      <c r="W220" s="8"/>
      <c r="X220" s="8"/>
      <c r="Y220" s="8"/>
      <c r="Z220" s="8"/>
      <c r="AA220" s="8"/>
    </row>
    <row r="221" spans="1:27" ht="47.25">
      <c r="A221" s="8" t="s">
        <v>18</v>
      </c>
      <c r="B221" s="29" t="s">
        <v>54</v>
      </c>
      <c r="C221" s="8" t="s">
        <v>660</v>
      </c>
      <c r="D221" s="8" t="s">
        <v>661</v>
      </c>
      <c r="E221" s="8" t="s">
        <v>529</v>
      </c>
      <c r="F221" s="8"/>
      <c r="G221" s="8" t="s">
        <v>62</v>
      </c>
      <c r="H221" s="8" t="s">
        <v>530</v>
      </c>
      <c r="I221" s="8" t="s">
        <v>135</v>
      </c>
      <c r="J221" s="8" t="s">
        <v>8</v>
      </c>
      <c r="K221" s="8" t="s">
        <v>2258</v>
      </c>
      <c r="L221" s="283"/>
      <c r="M221" s="8"/>
      <c r="N221" s="8"/>
      <c r="O221" s="281" t="s">
        <v>2303</v>
      </c>
      <c r="P221" s="8" t="s">
        <v>2258</v>
      </c>
      <c r="Q221" s="132"/>
      <c r="R221" s="38"/>
      <c r="S221" s="8"/>
      <c r="T221" s="8"/>
      <c r="U221" s="8"/>
      <c r="V221" s="8"/>
      <c r="W221" s="8"/>
      <c r="X221" s="8"/>
      <c r="Y221" s="8"/>
      <c r="Z221" s="8"/>
      <c r="AA221" s="8"/>
    </row>
    <row r="222" spans="1:27" ht="94.5">
      <c r="A222" s="8" t="s">
        <v>18</v>
      </c>
      <c r="B222" s="29" t="s">
        <v>54</v>
      </c>
      <c r="C222" s="8" t="s">
        <v>660</v>
      </c>
      <c r="D222" s="8" t="s">
        <v>662</v>
      </c>
      <c r="E222" s="8" t="s">
        <v>524</v>
      </c>
      <c r="F222" s="8"/>
      <c r="G222" s="8" t="s">
        <v>62</v>
      </c>
      <c r="H222" s="8" t="s">
        <v>525</v>
      </c>
      <c r="I222" s="8" t="s">
        <v>526</v>
      </c>
      <c r="J222" s="8" t="s">
        <v>8</v>
      </c>
      <c r="K222" s="8" t="s">
        <v>2258</v>
      </c>
      <c r="L222" s="283"/>
      <c r="M222" s="8"/>
      <c r="N222" s="8"/>
      <c r="O222" s="281" t="s">
        <v>2303</v>
      </c>
      <c r="P222" s="8" t="s">
        <v>2258</v>
      </c>
      <c r="Q222" s="132"/>
      <c r="R222" s="38"/>
      <c r="S222" s="8"/>
      <c r="T222" s="8"/>
      <c r="U222" s="8"/>
      <c r="V222" s="8"/>
      <c r="W222" s="8"/>
      <c r="X222" s="8"/>
      <c r="Y222" s="8"/>
      <c r="Z222" s="8"/>
      <c r="AA222" s="8"/>
    </row>
    <row r="223" spans="1:27" ht="204.75">
      <c r="A223" s="8" t="s">
        <v>18</v>
      </c>
      <c r="B223" s="29" t="s">
        <v>195</v>
      </c>
      <c r="C223" s="8" t="s">
        <v>663</v>
      </c>
      <c r="D223" s="8" t="s">
        <v>664</v>
      </c>
      <c r="E223" s="8" t="s">
        <v>665</v>
      </c>
      <c r="F223" s="8" t="s">
        <v>2259</v>
      </c>
      <c r="G223" s="8" t="s">
        <v>62</v>
      </c>
      <c r="H223" s="8" t="s">
        <v>666</v>
      </c>
      <c r="I223" s="8" t="s">
        <v>667</v>
      </c>
      <c r="J223" s="8" t="s">
        <v>8</v>
      </c>
      <c r="K223" s="8" t="s">
        <v>2482</v>
      </c>
      <c r="L223" s="283" t="s">
        <v>2387</v>
      </c>
      <c r="M223" s="8" t="s">
        <v>11</v>
      </c>
      <c r="N223" s="8" t="s">
        <v>2483</v>
      </c>
      <c r="O223" s="281"/>
      <c r="P223" s="8" t="s">
        <v>2484</v>
      </c>
      <c r="Q223" s="132"/>
      <c r="R223" s="38"/>
      <c r="S223" s="8"/>
      <c r="T223" s="8"/>
      <c r="U223" s="8"/>
      <c r="V223" s="8"/>
      <c r="W223" s="8"/>
      <c r="X223" s="8"/>
      <c r="Y223" s="8"/>
      <c r="Z223" s="8"/>
      <c r="AA223" s="8"/>
    </row>
    <row r="224" spans="1:27" ht="110.25">
      <c r="A224" s="8" t="s">
        <v>18</v>
      </c>
      <c r="B224" s="29" t="s">
        <v>195</v>
      </c>
      <c r="C224" s="8" t="s">
        <v>663</v>
      </c>
      <c r="D224" s="8" t="s">
        <v>668</v>
      </c>
      <c r="E224" s="8" t="s">
        <v>669</v>
      </c>
      <c r="F224" s="8" t="s">
        <v>2259</v>
      </c>
      <c r="G224" s="8" t="s">
        <v>62</v>
      </c>
      <c r="H224" s="8" t="s">
        <v>670</v>
      </c>
      <c r="I224" s="8" t="s">
        <v>671</v>
      </c>
      <c r="J224" s="8" t="s">
        <v>8</v>
      </c>
      <c r="K224" s="8" t="s">
        <v>2258</v>
      </c>
      <c r="L224" s="283" t="s">
        <v>2387</v>
      </c>
      <c r="M224" s="8" t="s">
        <v>11</v>
      </c>
      <c r="N224" s="8" t="s">
        <v>2258</v>
      </c>
      <c r="O224" s="281"/>
      <c r="P224" s="8"/>
      <c r="Q224" s="132"/>
      <c r="R224" s="38"/>
      <c r="S224" s="8"/>
      <c r="T224" s="8"/>
      <c r="U224" s="8"/>
      <c r="V224" s="8"/>
      <c r="W224" s="8"/>
      <c r="X224" s="8"/>
      <c r="Y224" s="8"/>
      <c r="Z224" s="8"/>
      <c r="AA224" s="8"/>
    </row>
    <row r="225" spans="1:27" ht="94.5">
      <c r="A225" s="8" t="s">
        <v>18</v>
      </c>
      <c r="B225" s="29" t="s">
        <v>195</v>
      </c>
      <c r="C225" s="8" t="s">
        <v>663</v>
      </c>
      <c r="D225" s="8" t="s">
        <v>672</v>
      </c>
      <c r="E225" s="8" t="s">
        <v>673</v>
      </c>
      <c r="F225" s="8"/>
      <c r="G225" s="8" t="s">
        <v>62</v>
      </c>
      <c r="H225" s="8" t="s">
        <v>537</v>
      </c>
      <c r="I225" s="8" t="s">
        <v>538</v>
      </c>
      <c r="J225" s="8" t="s">
        <v>8</v>
      </c>
      <c r="K225" s="8" t="s">
        <v>2485</v>
      </c>
      <c r="L225" s="283" t="s">
        <v>2265</v>
      </c>
      <c r="M225" s="8" t="s">
        <v>11</v>
      </c>
      <c r="N225" s="8" t="s">
        <v>2258</v>
      </c>
      <c r="O225" s="281"/>
      <c r="P225" s="8"/>
      <c r="Q225" s="132"/>
      <c r="R225" s="38"/>
      <c r="S225" s="8"/>
      <c r="T225" s="8"/>
      <c r="U225" s="8"/>
      <c r="V225" s="8"/>
      <c r="W225" s="8"/>
      <c r="X225" s="8"/>
      <c r="Y225" s="8"/>
      <c r="Z225" s="8"/>
      <c r="AA225" s="8"/>
    </row>
    <row r="226" spans="1:27" ht="173.25">
      <c r="A226" s="8" t="s">
        <v>18</v>
      </c>
      <c r="B226" s="29" t="s">
        <v>195</v>
      </c>
      <c r="C226" s="8" t="s">
        <v>674</v>
      </c>
      <c r="D226" s="8" t="s">
        <v>675</v>
      </c>
      <c r="E226" s="8" t="s">
        <v>676</v>
      </c>
      <c r="F226" s="8" t="s">
        <v>2253</v>
      </c>
      <c r="G226" s="8" t="s">
        <v>62</v>
      </c>
      <c r="H226" s="8" t="s">
        <v>677</v>
      </c>
      <c r="I226" s="9">
        <v>1</v>
      </c>
      <c r="J226" s="8" t="s">
        <v>8</v>
      </c>
      <c r="K226" s="8" t="s">
        <v>2486</v>
      </c>
      <c r="L226" s="283" t="s">
        <v>2387</v>
      </c>
      <c r="M226" s="8" t="s">
        <v>11</v>
      </c>
      <c r="N226" s="8" t="s">
        <v>2258</v>
      </c>
      <c r="O226" s="281"/>
      <c r="P226" s="8"/>
      <c r="Q226" s="132"/>
      <c r="R226" s="38"/>
      <c r="S226" s="8"/>
      <c r="T226" s="8"/>
      <c r="U226" s="8"/>
      <c r="V226" s="8"/>
      <c r="W226" s="8"/>
      <c r="X226" s="8"/>
      <c r="Y226" s="8"/>
      <c r="Z226" s="8"/>
      <c r="AA226" s="8"/>
    </row>
    <row r="227" spans="1:27" ht="78.75">
      <c r="A227" s="8" t="s">
        <v>18</v>
      </c>
      <c r="B227" s="29" t="s">
        <v>195</v>
      </c>
      <c r="C227" s="8" t="s">
        <v>678</v>
      </c>
      <c r="D227" s="8" t="s">
        <v>679</v>
      </c>
      <c r="E227" s="76" t="s">
        <v>253</v>
      </c>
      <c r="F227" s="20"/>
      <c r="G227" s="20" t="s">
        <v>62</v>
      </c>
      <c r="H227" s="20"/>
      <c r="I227" s="22"/>
      <c r="J227" s="20"/>
      <c r="K227" s="20"/>
      <c r="L227" s="278"/>
      <c r="M227" s="20"/>
      <c r="N227" s="20"/>
      <c r="O227" s="279"/>
      <c r="P227" s="20"/>
      <c r="Q227" s="132"/>
      <c r="R227" s="39"/>
      <c r="S227" s="20"/>
      <c r="T227" s="20"/>
      <c r="U227" s="20"/>
      <c r="V227" s="20"/>
      <c r="W227" s="20"/>
      <c r="X227" s="20"/>
      <c r="Y227" s="20"/>
      <c r="Z227" s="20"/>
      <c r="AA227" s="20"/>
    </row>
    <row r="228" spans="1:27" ht="82.5" customHeight="1">
      <c r="A228" s="8" t="s">
        <v>18</v>
      </c>
      <c r="B228" s="29" t="s">
        <v>195</v>
      </c>
      <c r="C228" s="8" t="s">
        <v>678</v>
      </c>
      <c r="D228" s="8" t="s">
        <v>680</v>
      </c>
      <c r="E228" s="69" t="s">
        <v>681</v>
      </c>
      <c r="F228" s="8" t="s">
        <v>2259</v>
      </c>
      <c r="G228" s="8" t="s">
        <v>62</v>
      </c>
      <c r="H228" s="8" t="s">
        <v>254</v>
      </c>
      <c r="I228" s="9">
        <v>1</v>
      </c>
      <c r="J228" s="8" t="s">
        <v>8</v>
      </c>
      <c r="K228" s="8" t="s">
        <v>2487</v>
      </c>
      <c r="L228" s="283" t="s">
        <v>2273</v>
      </c>
      <c r="M228" s="8" t="s">
        <v>10</v>
      </c>
      <c r="N228" s="8" t="s">
        <v>2469</v>
      </c>
      <c r="O228" s="281"/>
      <c r="P228" s="8" t="s">
        <v>2470</v>
      </c>
      <c r="Q228" s="132"/>
      <c r="R228" s="38"/>
      <c r="S228" s="8"/>
      <c r="T228" s="8"/>
      <c r="U228" s="8"/>
      <c r="V228" s="8"/>
      <c r="W228" s="8"/>
      <c r="X228" s="8"/>
      <c r="Y228" s="8"/>
      <c r="Z228" s="8"/>
      <c r="AA228" s="8"/>
    </row>
    <row r="229" spans="1:27" ht="252">
      <c r="A229" s="8" t="s">
        <v>18</v>
      </c>
      <c r="B229" s="29" t="s">
        <v>195</v>
      </c>
      <c r="C229" s="8" t="s">
        <v>678</v>
      </c>
      <c r="D229" s="8" t="s">
        <v>682</v>
      </c>
      <c r="E229" s="69" t="s">
        <v>548</v>
      </c>
      <c r="F229" s="8"/>
      <c r="G229" s="8" t="s">
        <v>62</v>
      </c>
      <c r="H229" s="8" t="s">
        <v>549</v>
      </c>
      <c r="I229" s="9">
        <v>1</v>
      </c>
      <c r="J229" s="8" t="s">
        <v>8</v>
      </c>
      <c r="K229" s="8" t="s">
        <v>2488</v>
      </c>
      <c r="L229" s="283" t="s">
        <v>2273</v>
      </c>
      <c r="M229" s="8" t="s">
        <v>11</v>
      </c>
      <c r="N229" s="8" t="s">
        <v>2489</v>
      </c>
      <c r="O229" s="281"/>
      <c r="P229" s="8"/>
      <c r="Q229" s="132"/>
      <c r="R229" s="38"/>
      <c r="S229" s="8"/>
      <c r="T229" s="8"/>
      <c r="U229" s="8"/>
      <c r="V229" s="8"/>
      <c r="W229" s="8"/>
      <c r="X229" s="8"/>
      <c r="Y229" s="8"/>
      <c r="Z229" s="8"/>
      <c r="AA229" s="8"/>
    </row>
    <row r="230" spans="1:27" ht="173.25">
      <c r="A230" s="8" t="s">
        <v>18</v>
      </c>
      <c r="B230" s="29" t="s">
        <v>195</v>
      </c>
      <c r="C230" s="8" t="s">
        <v>678</v>
      </c>
      <c r="D230" s="8" t="s">
        <v>683</v>
      </c>
      <c r="E230" s="69" t="s">
        <v>684</v>
      </c>
      <c r="F230" s="8"/>
      <c r="G230" s="8" t="s">
        <v>62</v>
      </c>
      <c r="H230" s="8" t="s">
        <v>685</v>
      </c>
      <c r="I230" s="9">
        <v>1</v>
      </c>
      <c r="J230" s="8" t="s">
        <v>8</v>
      </c>
      <c r="K230" s="8" t="s">
        <v>2490</v>
      </c>
      <c r="L230" s="283" t="s">
        <v>2273</v>
      </c>
      <c r="M230" s="8" t="s">
        <v>11</v>
      </c>
      <c r="N230" s="8" t="s">
        <v>2258</v>
      </c>
      <c r="O230" s="281"/>
      <c r="P230" s="8"/>
      <c r="Q230" s="132"/>
      <c r="R230" s="38"/>
      <c r="S230" s="8"/>
      <c r="T230" s="8"/>
      <c r="U230" s="8"/>
      <c r="V230" s="8"/>
      <c r="W230" s="8"/>
      <c r="X230" s="8"/>
      <c r="Y230" s="8"/>
      <c r="Z230" s="8"/>
      <c r="AA230" s="8"/>
    </row>
    <row r="231" spans="1:27" ht="220.5">
      <c r="A231" s="8" t="s">
        <v>18</v>
      </c>
      <c r="B231" s="29" t="s">
        <v>195</v>
      </c>
      <c r="C231" s="8" t="s">
        <v>686</v>
      </c>
      <c r="D231" s="8" t="s">
        <v>687</v>
      </c>
      <c r="E231" s="8" t="s">
        <v>688</v>
      </c>
      <c r="F231" s="8"/>
      <c r="G231" s="8" t="s">
        <v>62</v>
      </c>
      <c r="H231" s="8" t="s">
        <v>259</v>
      </c>
      <c r="I231" s="8" t="s">
        <v>210</v>
      </c>
      <c r="J231" s="8" t="s">
        <v>8</v>
      </c>
      <c r="K231" s="8" t="s">
        <v>2258</v>
      </c>
      <c r="L231" s="283" t="s">
        <v>2273</v>
      </c>
      <c r="M231" s="8" t="s">
        <v>11</v>
      </c>
      <c r="N231" s="8" t="s">
        <v>2491</v>
      </c>
      <c r="O231" s="281"/>
      <c r="P231" s="8"/>
      <c r="Q231" s="132"/>
      <c r="R231" s="38"/>
      <c r="S231" s="8"/>
      <c r="T231" s="8"/>
      <c r="U231" s="8"/>
      <c r="V231" s="8"/>
      <c r="W231" s="8"/>
      <c r="X231" s="8"/>
      <c r="Y231" s="8"/>
      <c r="Z231" s="8"/>
      <c r="AA231" s="8"/>
    </row>
    <row r="232" spans="1:27" ht="78.75">
      <c r="A232" s="8" t="s">
        <v>18</v>
      </c>
      <c r="B232" s="29" t="s">
        <v>274</v>
      </c>
      <c r="C232" s="8" t="s">
        <v>689</v>
      </c>
      <c r="D232" s="8" t="s">
        <v>690</v>
      </c>
      <c r="E232" s="8" t="s">
        <v>691</v>
      </c>
      <c r="F232" s="8"/>
      <c r="G232" s="8" t="s">
        <v>62</v>
      </c>
      <c r="H232" s="8" t="s">
        <v>692</v>
      </c>
      <c r="I232" s="9">
        <v>1</v>
      </c>
      <c r="J232" s="8" t="s">
        <v>8</v>
      </c>
      <c r="K232" s="8" t="s">
        <v>2492</v>
      </c>
      <c r="L232" s="283"/>
      <c r="M232" s="8"/>
      <c r="N232" s="8"/>
      <c r="O232" s="281" t="s">
        <v>2303</v>
      </c>
      <c r="P232" s="8" t="s">
        <v>2477</v>
      </c>
      <c r="Q232" s="132"/>
      <c r="R232" s="38"/>
      <c r="S232" s="8"/>
      <c r="T232" s="8"/>
      <c r="U232" s="8"/>
      <c r="V232" s="8"/>
      <c r="W232" s="8"/>
      <c r="X232" s="8"/>
      <c r="Y232" s="8"/>
      <c r="Z232" s="8"/>
      <c r="AA232" s="8"/>
    </row>
    <row r="233" spans="1:27" ht="94.5">
      <c r="A233" s="8" t="s">
        <v>18</v>
      </c>
      <c r="B233" s="29" t="s">
        <v>274</v>
      </c>
      <c r="C233" s="8" t="s">
        <v>693</v>
      </c>
      <c r="D233" s="8" t="s">
        <v>694</v>
      </c>
      <c r="E233" s="8" t="s">
        <v>695</v>
      </c>
      <c r="F233" s="8"/>
      <c r="G233" s="8" t="s">
        <v>62</v>
      </c>
      <c r="H233" s="8" t="s">
        <v>696</v>
      </c>
      <c r="I233" s="8" t="s">
        <v>697</v>
      </c>
      <c r="J233" s="8" t="s">
        <v>8</v>
      </c>
      <c r="K233" s="8" t="s">
        <v>2493</v>
      </c>
      <c r="L233" s="283"/>
      <c r="M233" s="8"/>
      <c r="N233" s="8"/>
      <c r="O233" s="281" t="s">
        <v>2303</v>
      </c>
      <c r="P233" s="8" t="s">
        <v>2258</v>
      </c>
      <c r="Q233" s="132"/>
      <c r="R233" s="38"/>
      <c r="S233" s="8"/>
      <c r="T233" s="8"/>
      <c r="U233" s="8"/>
      <c r="V233" s="8"/>
      <c r="W233" s="8"/>
      <c r="X233" s="8"/>
      <c r="Y233" s="8"/>
      <c r="Z233" s="8"/>
      <c r="AA233" s="8"/>
    </row>
    <row r="234" spans="1:27" ht="78.75">
      <c r="A234" s="8" t="s">
        <v>18</v>
      </c>
      <c r="B234" s="29" t="s">
        <v>274</v>
      </c>
      <c r="C234" s="8" t="s">
        <v>693</v>
      </c>
      <c r="D234" s="8" t="s">
        <v>698</v>
      </c>
      <c r="E234" s="8" t="s">
        <v>699</v>
      </c>
      <c r="F234" s="8"/>
      <c r="G234" s="8" t="s">
        <v>62</v>
      </c>
      <c r="H234" s="8" t="s">
        <v>700</v>
      </c>
      <c r="I234" s="8" t="s">
        <v>701</v>
      </c>
      <c r="J234" s="8" t="s">
        <v>8</v>
      </c>
      <c r="K234" s="8" t="s">
        <v>2258</v>
      </c>
      <c r="L234" s="283"/>
      <c r="M234" s="8"/>
      <c r="N234" s="8"/>
      <c r="O234" s="281" t="s">
        <v>2303</v>
      </c>
      <c r="P234" s="8" t="s">
        <v>2258</v>
      </c>
      <c r="Q234" s="132"/>
      <c r="R234" s="38"/>
      <c r="S234" s="8"/>
      <c r="T234" s="8"/>
      <c r="U234" s="8"/>
      <c r="V234" s="8"/>
      <c r="W234" s="8"/>
      <c r="X234" s="8"/>
      <c r="Y234" s="8"/>
      <c r="Z234" s="8"/>
      <c r="AA234" s="8"/>
    </row>
    <row r="235" spans="1:27" ht="78.75">
      <c r="A235" s="8" t="s">
        <v>18</v>
      </c>
      <c r="B235" s="29" t="s">
        <v>274</v>
      </c>
      <c r="C235" s="8" t="s">
        <v>693</v>
      </c>
      <c r="D235" s="8" t="s">
        <v>702</v>
      </c>
      <c r="E235" s="8" t="s">
        <v>579</v>
      </c>
      <c r="F235" s="8"/>
      <c r="G235" s="8" t="s">
        <v>62</v>
      </c>
      <c r="H235" s="8" t="s">
        <v>703</v>
      </c>
      <c r="I235" s="8" t="s">
        <v>701</v>
      </c>
      <c r="J235" s="8" t="s">
        <v>8</v>
      </c>
      <c r="K235" s="8" t="s">
        <v>2492</v>
      </c>
      <c r="L235" s="283"/>
      <c r="M235" s="8"/>
      <c r="N235" s="8"/>
      <c r="O235" s="281" t="s">
        <v>2303</v>
      </c>
      <c r="P235" s="8" t="s">
        <v>2258</v>
      </c>
      <c r="Q235" s="132"/>
      <c r="R235" s="38"/>
      <c r="S235" s="8"/>
      <c r="T235" s="8"/>
      <c r="U235" s="8"/>
      <c r="V235" s="8"/>
      <c r="W235" s="8"/>
      <c r="X235" s="8"/>
      <c r="Y235" s="8"/>
      <c r="Z235" s="8"/>
      <c r="AA235" s="8"/>
    </row>
    <row r="236" spans="1:27" ht="47.25" hidden="1">
      <c r="A236" s="20" t="s">
        <v>18</v>
      </c>
      <c r="B236" s="30" t="s">
        <v>274</v>
      </c>
      <c r="C236" s="19" t="s">
        <v>704</v>
      </c>
      <c r="D236" s="19" t="s">
        <v>582</v>
      </c>
      <c r="E236" s="19" t="s">
        <v>582</v>
      </c>
      <c r="F236" s="19" t="s">
        <v>582</v>
      </c>
      <c r="G236" s="19" t="s">
        <v>582</v>
      </c>
      <c r="H236" s="19" t="s">
        <v>582</v>
      </c>
      <c r="I236" s="19" t="s">
        <v>582</v>
      </c>
      <c r="J236" s="19" t="s">
        <v>582</v>
      </c>
      <c r="K236" s="19" t="s">
        <v>582</v>
      </c>
      <c r="L236" s="19" t="s">
        <v>582</v>
      </c>
      <c r="M236" s="19" t="s">
        <v>582</v>
      </c>
      <c r="N236" s="19" t="s">
        <v>582</v>
      </c>
      <c r="O236" s="19" t="s">
        <v>582</v>
      </c>
      <c r="P236" s="19" t="s">
        <v>582</v>
      </c>
      <c r="Q236" s="48"/>
      <c r="R236" s="44" t="s">
        <v>582</v>
      </c>
      <c r="S236" s="19" t="s">
        <v>582</v>
      </c>
      <c r="T236" s="19" t="s">
        <v>582</v>
      </c>
      <c r="U236" s="19"/>
      <c r="V236" s="19" t="s">
        <v>582</v>
      </c>
      <c r="W236" s="19" t="s">
        <v>582</v>
      </c>
      <c r="X236" s="19" t="s">
        <v>582</v>
      </c>
      <c r="Y236" s="19" t="s">
        <v>582</v>
      </c>
      <c r="Z236" s="19" t="s">
        <v>582</v>
      </c>
      <c r="AA236" s="19" t="s">
        <v>582</v>
      </c>
    </row>
    <row r="237" spans="1:27" ht="110.25">
      <c r="A237" s="8" t="s">
        <v>18</v>
      </c>
      <c r="B237" s="29" t="s">
        <v>274</v>
      </c>
      <c r="C237" s="8" t="s">
        <v>705</v>
      </c>
      <c r="D237" s="8" t="s">
        <v>706</v>
      </c>
      <c r="E237" s="8" t="s">
        <v>707</v>
      </c>
      <c r="F237" s="8"/>
      <c r="G237" s="8" t="s">
        <v>62</v>
      </c>
      <c r="H237" s="8" t="s">
        <v>708</v>
      </c>
      <c r="I237" s="9">
        <v>1</v>
      </c>
      <c r="J237" s="8" t="s">
        <v>8</v>
      </c>
      <c r="K237" s="8" t="s">
        <v>2494</v>
      </c>
      <c r="L237" s="283"/>
      <c r="M237" s="8"/>
      <c r="N237" s="8"/>
      <c r="O237" s="281" t="s">
        <v>2303</v>
      </c>
      <c r="P237" s="8" t="s">
        <v>2357</v>
      </c>
      <c r="Q237" s="132"/>
      <c r="R237" s="38"/>
      <c r="S237" s="8"/>
      <c r="T237" s="8"/>
      <c r="U237" s="8"/>
      <c r="V237" s="8"/>
      <c r="W237" s="8"/>
      <c r="X237" s="8"/>
      <c r="Y237" s="8"/>
      <c r="Z237" s="8"/>
      <c r="AA237" s="8"/>
    </row>
    <row r="238" spans="1:27" ht="78.75">
      <c r="A238" s="8" t="s">
        <v>18</v>
      </c>
      <c r="B238" s="29" t="s">
        <v>274</v>
      </c>
      <c r="C238" s="8" t="s">
        <v>705</v>
      </c>
      <c r="D238" s="8" t="s">
        <v>709</v>
      </c>
      <c r="E238" s="8" t="s">
        <v>710</v>
      </c>
      <c r="F238" s="8"/>
      <c r="G238" s="8" t="s">
        <v>62</v>
      </c>
      <c r="H238" s="8" t="s">
        <v>711</v>
      </c>
      <c r="I238" s="9">
        <v>1</v>
      </c>
      <c r="J238" s="8" t="s">
        <v>8</v>
      </c>
      <c r="K238" s="8" t="s">
        <v>2495</v>
      </c>
      <c r="L238" s="283"/>
      <c r="M238" s="8"/>
      <c r="N238" s="8"/>
      <c r="O238" s="281" t="s">
        <v>2303</v>
      </c>
      <c r="P238" s="8"/>
      <c r="Q238" s="132"/>
      <c r="R238" s="38"/>
      <c r="S238" s="8"/>
      <c r="T238" s="8"/>
      <c r="U238" s="8"/>
      <c r="V238" s="8"/>
      <c r="W238" s="8"/>
      <c r="X238" s="8"/>
      <c r="Y238" s="8"/>
      <c r="Z238" s="8"/>
      <c r="AA238" s="8"/>
    </row>
    <row r="239" spans="1:27" ht="141.75">
      <c r="A239" s="8" t="s">
        <v>18</v>
      </c>
      <c r="B239" s="29" t="s">
        <v>274</v>
      </c>
      <c r="C239" s="8" t="s">
        <v>705</v>
      </c>
      <c r="D239" s="8" t="s">
        <v>712</v>
      </c>
      <c r="E239" s="8" t="s">
        <v>713</v>
      </c>
      <c r="F239" s="8"/>
      <c r="G239" s="8" t="s">
        <v>62</v>
      </c>
      <c r="H239" s="8" t="s">
        <v>714</v>
      </c>
      <c r="I239" s="9">
        <v>1</v>
      </c>
      <c r="J239" s="8" t="s">
        <v>8</v>
      </c>
      <c r="K239" s="8" t="s">
        <v>2495</v>
      </c>
      <c r="L239" s="283"/>
      <c r="M239" s="8"/>
      <c r="N239" s="8"/>
      <c r="O239" s="281" t="s">
        <v>2303</v>
      </c>
      <c r="P239" s="8" t="s">
        <v>2496</v>
      </c>
      <c r="Q239" s="132"/>
      <c r="R239" s="38"/>
      <c r="S239" s="8"/>
      <c r="T239" s="8"/>
      <c r="U239" s="8"/>
      <c r="V239" s="8"/>
      <c r="W239" s="8"/>
      <c r="X239" s="8"/>
      <c r="Y239" s="8"/>
      <c r="Z239" s="8"/>
      <c r="AA239" s="8"/>
    </row>
    <row r="240" spans="1:27" ht="110.25">
      <c r="A240" s="8" t="s">
        <v>18</v>
      </c>
      <c r="B240" s="29" t="s">
        <v>587</v>
      </c>
      <c r="C240" s="8" t="s">
        <v>715</v>
      </c>
      <c r="D240" s="8" t="s">
        <v>716</v>
      </c>
      <c r="E240" s="8" t="s">
        <v>717</v>
      </c>
      <c r="F240" s="8"/>
      <c r="G240" s="8" t="s">
        <v>62</v>
      </c>
      <c r="H240" s="8" t="s">
        <v>591</v>
      </c>
      <c r="I240" s="9">
        <v>1</v>
      </c>
      <c r="J240" s="8" t="s">
        <v>8</v>
      </c>
      <c r="K240" s="8" t="s">
        <v>2497</v>
      </c>
      <c r="L240" s="283" t="s">
        <v>2498</v>
      </c>
      <c r="M240" s="8" t="s">
        <v>10</v>
      </c>
      <c r="N240" s="8" t="s">
        <v>2464</v>
      </c>
      <c r="O240" s="281"/>
      <c r="P240" s="8" t="s">
        <v>2499</v>
      </c>
      <c r="Q240" s="132"/>
      <c r="R240" s="38"/>
      <c r="S240" s="8"/>
      <c r="T240" s="8"/>
      <c r="U240" s="8"/>
      <c r="V240" s="8"/>
      <c r="W240" s="8"/>
      <c r="X240" s="8"/>
      <c r="Y240" s="8"/>
      <c r="Z240" s="8"/>
      <c r="AA240" s="8"/>
    </row>
    <row r="241" spans="1:27" ht="56.25">
      <c r="A241" s="8" t="s">
        <v>18</v>
      </c>
      <c r="B241" s="29" t="s">
        <v>587</v>
      </c>
      <c r="C241" s="8" t="s">
        <v>715</v>
      </c>
      <c r="D241" s="8" t="s">
        <v>718</v>
      </c>
      <c r="E241" s="8" t="s">
        <v>719</v>
      </c>
      <c r="F241" s="20"/>
      <c r="G241" s="20" t="s">
        <v>62</v>
      </c>
      <c r="H241" s="20" t="s">
        <v>352</v>
      </c>
      <c r="I241" s="22">
        <v>1</v>
      </c>
      <c r="J241" s="20"/>
      <c r="K241" s="20"/>
      <c r="L241" s="278"/>
      <c r="M241" s="20"/>
      <c r="N241" s="20"/>
      <c r="O241" s="279"/>
      <c r="P241" s="20"/>
      <c r="Q241" s="132"/>
      <c r="R241" s="39"/>
      <c r="S241" s="20"/>
      <c r="T241" s="20"/>
      <c r="U241" s="20"/>
      <c r="V241" s="20"/>
      <c r="W241" s="20"/>
      <c r="X241" s="20"/>
      <c r="Y241" s="20"/>
      <c r="Z241" s="20"/>
      <c r="AA241" s="20"/>
    </row>
    <row r="242" spans="1:27" ht="189">
      <c r="A242" s="8" t="s">
        <v>18</v>
      </c>
      <c r="B242" s="29" t="s">
        <v>587</v>
      </c>
      <c r="C242" s="8" t="s">
        <v>715</v>
      </c>
      <c r="D242" s="8" t="s">
        <v>720</v>
      </c>
      <c r="E242" s="69" t="s">
        <v>594</v>
      </c>
      <c r="F242" s="8"/>
      <c r="G242" s="8" t="s">
        <v>62</v>
      </c>
      <c r="H242" s="8" t="s">
        <v>352</v>
      </c>
      <c r="I242" s="9">
        <v>1</v>
      </c>
      <c r="J242" s="8" t="s">
        <v>8</v>
      </c>
      <c r="K242" s="8" t="s">
        <v>2500</v>
      </c>
      <c r="L242" s="283" t="s">
        <v>2273</v>
      </c>
      <c r="M242" s="8"/>
      <c r="N242" s="8"/>
      <c r="O242" s="281" t="s">
        <v>2303</v>
      </c>
      <c r="P242" s="8" t="s">
        <v>2477</v>
      </c>
      <c r="Q242" s="132"/>
      <c r="R242" s="38"/>
      <c r="S242" s="8"/>
      <c r="T242" s="8"/>
      <c r="U242" s="8"/>
      <c r="V242" s="8"/>
      <c r="W242" s="8"/>
      <c r="X242" s="8"/>
      <c r="Y242" s="8"/>
      <c r="Z242" s="8"/>
      <c r="AA242" s="8"/>
    </row>
    <row r="243" spans="1:27" ht="56.25">
      <c r="A243" s="8" t="s">
        <v>18</v>
      </c>
      <c r="B243" s="29" t="s">
        <v>587</v>
      </c>
      <c r="C243" s="8" t="s">
        <v>715</v>
      </c>
      <c r="D243" s="8" t="s">
        <v>721</v>
      </c>
      <c r="E243" s="69" t="s">
        <v>722</v>
      </c>
      <c r="F243" s="8"/>
      <c r="G243" s="8" t="s">
        <v>62</v>
      </c>
      <c r="H243" s="8" t="s">
        <v>352</v>
      </c>
      <c r="I243" s="9">
        <v>1</v>
      </c>
      <c r="J243" s="8" t="s">
        <v>8</v>
      </c>
      <c r="K243" s="8" t="s">
        <v>2258</v>
      </c>
      <c r="L243" s="283" t="s">
        <v>2273</v>
      </c>
      <c r="M243" s="8"/>
      <c r="N243" s="8"/>
      <c r="O243" s="281" t="s">
        <v>2303</v>
      </c>
      <c r="P243" s="8" t="s">
        <v>2258</v>
      </c>
      <c r="Q243" s="132"/>
      <c r="R243" s="38"/>
      <c r="S243" s="8"/>
      <c r="T243" s="8"/>
      <c r="U243" s="8"/>
      <c r="V243" s="8"/>
      <c r="W243" s="8"/>
      <c r="X243" s="8"/>
      <c r="Y243" s="8"/>
      <c r="Z243" s="8"/>
      <c r="AA243" s="8"/>
    </row>
    <row r="244" spans="1:27" ht="56.25">
      <c r="A244" s="8" t="s">
        <v>18</v>
      </c>
      <c r="B244" s="29" t="s">
        <v>587</v>
      </c>
      <c r="C244" s="8" t="s">
        <v>715</v>
      </c>
      <c r="D244" s="8" t="s">
        <v>723</v>
      </c>
      <c r="E244" s="69" t="s">
        <v>596</v>
      </c>
      <c r="F244" s="8"/>
      <c r="G244" s="8" t="s">
        <v>62</v>
      </c>
      <c r="H244" s="8" t="s">
        <v>352</v>
      </c>
      <c r="I244" s="9">
        <v>1</v>
      </c>
      <c r="J244" s="8" t="s">
        <v>8</v>
      </c>
      <c r="K244" s="8" t="s">
        <v>2258</v>
      </c>
      <c r="L244" s="283" t="s">
        <v>2273</v>
      </c>
      <c r="M244" s="8"/>
      <c r="N244" s="8"/>
      <c r="O244" s="281" t="s">
        <v>2303</v>
      </c>
      <c r="P244" s="8" t="s">
        <v>2258</v>
      </c>
      <c r="Q244" s="132"/>
      <c r="R244" s="38"/>
      <c r="S244" s="8"/>
      <c r="T244" s="8"/>
      <c r="U244" s="8"/>
      <c r="V244" s="8"/>
      <c r="W244" s="8"/>
      <c r="X244" s="8"/>
      <c r="Y244" s="8"/>
      <c r="Z244" s="8"/>
      <c r="AA244" s="8"/>
    </row>
    <row r="245" spans="1:27" ht="56.25">
      <c r="A245" s="8" t="s">
        <v>18</v>
      </c>
      <c r="B245" s="29" t="s">
        <v>587</v>
      </c>
      <c r="C245" s="8" t="s">
        <v>715</v>
      </c>
      <c r="D245" s="8" t="s">
        <v>724</v>
      </c>
      <c r="E245" s="69" t="s">
        <v>597</v>
      </c>
      <c r="F245" s="8"/>
      <c r="G245" s="8" t="s">
        <v>62</v>
      </c>
      <c r="H245" s="8" t="s">
        <v>352</v>
      </c>
      <c r="I245" s="9">
        <v>1</v>
      </c>
      <c r="J245" s="8" t="s">
        <v>8</v>
      </c>
      <c r="K245" s="8" t="s">
        <v>2258</v>
      </c>
      <c r="L245" s="283" t="s">
        <v>2273</v>
      </c>
      <c r="M245" s="8"/>
      <c r="N245" s="8"/>
      <c r="O245" s="281" t="s">
        <v>2303</v>
      </c>
      <c r="P245" s="8" t="s">
        <v>2258</v>
      </c>
      <c r="Q245" s="132"/>
      <c r="R245" s="38"/>
      <c r="S245" s="8"/>
      <c r="T245" s="8"/>
      <c r="U245" s="8"/>
      <c r="V245" s="8"/>
      <c r="W245" s="8"/>
      <c r="X245" s="8"/>
      <c r="Y245" s="8"/>
      <c r="Z245" s="8"/>
      <c r="AA245" s="8"/>
    </row>
    <row r="246" spans="1:27" ht="56.25">
      <c r="A246" s="8" t="s">
        <v>18</v>
      </c>
      <c r="B246" s="29" t="s">
        <v>587</v>
      </c>
      <c r="C246" s="8" t="s">
        <v>715</v>
      </c>
      <c r="D246" s="8" t="s">
        <v>725</v>
      </c>
      <c r="E246" s="69" t="s">
        <v>599</v>
      </c>
      <c r="F246" s="8"/>
      <c r="G246" s="8" t="s">
        <v>62</v>
      </c>
      <c r="H246" s="8" t="s">
        <v>352</v>
      </c>
      <c r="I246" s="9">
        <v>1</v>
      </c>
      <c r="J246" s="8" t="s">
        <v>8</v>
      </c>
      <c r="K246" s="8" t="s">
        <v>2258</v>
      </c>
      <c r="L246" s="283" t="s">
        <v>2273</v>
      </c>
      <c r="M246" s="8"/>
      <c r="N246" s="8"/>
      <c r="O246" s="281" t="s">
        <v>2303</v>
      </c>
      <c r="P246" s="8" t="s">
        <v>2258</v>
      </c>
      <c r="Q246" s="132"/>
      <c r="R246" s="38"/>
      <c r="S246" s="8"/>
      <c r="T246" s="8"/>
      <c r="U246" s="8"/>
      <c r="V246" s="8"/>
      <c r="W246" s="8"/>
      <c r="X246" s="8"/>
      <c r="Y246" s="8"/>
      <c r="Z246" s="8"/>
      <c r="AA246" s="8"/>
    </row>
    <row r="247" spans="1:27" ht="56.25">
      <c r="A247" s="8" t="s">
        <v>18</v>
      </c>
      <c r="B247" s="29" t="s">
        <v>587</v>
      </c>
      <c r="C247" s="8" t="s">
        <v>715</v>
      </c>
      <c r="D247" s="8" t="s">
        <v>726</v>
      </c>
      <c r="E247" s="69" t="s">
        <v>727</v>
      </c>
      <c r="F247" s="8"/>
      <c r="G247" s="8" t="s">
        <v>62</v>
      </c>
      <c r="H247" s="8" t="s">
        <v>352</v>
      </c>
      <c r="I247" s="9">
        <v>1</v>
      </c>
      <c r="J247" s="8" t="s">
        <v>8</v>
      </c>
      <c r="K247" s="8" t="s">
        <v>2258</v>
      </c>
      <c r="L247" s="283" t="s">
        <v>2273</v>
      </c>
      <c r="M247" s="8"/>
      <c r="N247" s="8"/>
      <c r="O247" s="281" t="s">
        <v>2303</v>
      </c>
      <c r="P247" s="8" t="s">
        <v>2258</v>
      </c>
      <c r="Q247" s="132"/>
      <c r="R247" s="38"/>
      <c r="S247" s="8"/>
      <c r="T247" s="8"/>
      <c r="U247" s="8"/>
      <c r="V247" s="8"/>
      <c r="W247" s="8"/>
      <c r="X247" s="8"/>
      <c r="Y247" s="8"/>
      <c r="Z247" s="8"/>
      <c r="AA247" s="8"/>
    </row>
    <row r="248" spans="1:27" ht="56.25">
      <c r="A248" s="8" t="s">
        <v>18</v>
      </c>
      <c r="B248" s="29" t="s">
        <v>587</v>
      </c>
      <c r="C248" s="8" t="s">
        <v>715</v>
      </c>
      <c r="D248" s="8" t="s">
        <v>728</v>
      </c>
      <c r="E248" s="69" t="s">
        <v>729</v>
      </c>
      <c r="F248" s="8"/>
      <c r="G248" s="8" t="s">
        <v>62</v>
      </c>
      <c r="H248" s="8" t="s">
        <v>352</v>
      </c>
      <c r="I248" s="9">
        <v>1</v>
      </c>
      <c r="J248" s="8" t="s">
        <v>8</v>
      </c>
      <c r="K248" s="8" t="s">
        <v>2258</v>
      </c>
      <c r="L248" s="283" t="s">
        <v>2273</v>
      </c>
      <c r="M248" s="8"/>
      <c r="N248" s="8"/>
      <c r="O248" s="281" t="s">
        <v>2303</v>
      </c>
      <c r="P248" s="8" t="s">
        <v>2258</v>
      </c>
      <c r="Q248" s="132"/>
      <c r="R248" s="38"/>
      <c r="S248" s="8"/>
      <c r="T248" s="8"/>
      <c r="U248" s="8"/>
      <c r="V248" s="8"/>
      <c r="W248" s="8"/>
      <c r="X248" s="8"/>
      <c r="Y248" s="8"/>
      <c r="Z248" s="8"/>
      <c r="AA248" s="8"/>
    </row>
    <row r="249" spans="1:27" ht="56.25">
      <c r="A249" s="8" t="s">
        <v>18</v>
      </c>
      <c r="B249" s="29" t="s">
        <v>587</v>
      </c>
      <c r="C249" s="8" t="s">
        <v>715</v>
      </c>
      <c r="D249" s="8" t="s">
        <v>730</v>
      </c>
      <c r="E249" s="69" t="s">
        <v>731</v>
      </c>
      <c r="F249" s="8"/>
      <c r="G249" s="8" t="s">
        <v>62</v>
      </c>
      <c r="H249" s="8" t="s">
        <v>352</v>
      </c>
      <c r="I249" s="9">
        <v>1</v>
      </c>
      <c r="J249" s="8" t="s">
        <v>8</v>
      </c>
      <c r="K249" s="8" t="s">
        <v>2258</v>
      </c>
      <c r="L249" s="283" t="s">
        <v>2273</v>
      </c>
      <c r="M249" s="8"/>
      <c r="N249" s="8"/>
      <c r="O249" s="281" t="s">
        <v>2303</v>
      </c>
      <c r="P249" s="8" t="s">
        <v>2258</v>
      </c>
      <c r="Q249" s="132"/>
      <c r="R249" s="38"/>
      <c r="S249" s="8"/>
      <c r="T249" s="8"/>
      <c r="U249" s="8"/>
      <c r="V249" s="8"/>
      <c r="W249" s="8"/>
      <c r="X249" s="8"/>
      <c r="Y249" s="8"/>
      <c r="Z249" s="8"/>
      <c r="AA249" s="8"/>
    </row>
    <row r="250" spans="1:27" ht="63" hidden="1">
      <c r="A250" s="8" t="s">
        <v>18</v>
      </c>
      <c r="B250" s="29" t="s">
        <v>587</v>
      </c>
      <c r="C250" s="8" t="s">
        <v>732</v>
      </c>
      <c r="D250" s="8" t="s">
        <v>733</v>
      </c>
      <c r="E250" s="8" t="s">
        <v>734</v>
      </c>
      <c r="F250" s="8"/>
      <c r="G250" s="8" t="s">
        <v>71</v>
      </c>
      <c r="H250" s="8" t="s">
        <v>735</v>
      </c>
      <c r="I250" s="9">
        <v>1</v>
      </c>
      <c r="J250" s="8"/>
      <c r="K250" s="8"/>
      <c r="L250" s="283"/>
      <c r="M250" s="8"/>
      <c r="N250" s="8"/>
      <c r="O250" s="281"/>
      <c r="P250" s="8"/>
      <c r="Q250" s="132"/>
      <c r="R250" s="38"/>
      <c r="S250" s="8"/>
      <c r="T250" s="8"/>
      <c r="U250" s="8"/>
      <c r="V250" s="8"/>
      <c r="W250" s="8"/>
      <c r="X250" s="8"/>
      <c r="Y250" s="8"/>
      <c r="Z250" s="8"/>
      <c r="AA250" s="8"/>
    </row>
    <row r="251" spans="1:27" ht="63">
      <c r="A251" s="8" t="s">
        <v>18</v>
      </c>
      <c r="B251" s="29" t="s">
        <v>587</v>
      </c>
      <c r="C251" s="8" t="s">
        <v>732</v>
      </c>
      <c r="D251" s="8" t="s">
        <v>736</v>
      </c>
      <c r="E251" s="8" t="s">
        <v>734</v>
      </c>
      <c r="F251" s="8"/>
      <c r="G251" s="8" t="s">
        <v>58</v>
      </c>
      <c r="H251" s="8" t="s">
        <v>428</v>
      </c>
      <c r="I251" s="9">
        <v>1</v>
      </c>
      <c r="J251" s="8" t="s">
        <v>8</v>
      </c>
      <c r="K251" s="8" t="s">
        <v>2258</v>
      </c>
      <c r="L251" s="283" t="s">
        <v>2273</v>
      </c>
      <c r="M251" s="8"/>
      <c r="N251" s="8"/>
      <c r="O251" s="281" t="s">
        <v>2303</v>
      </c>
      <c r="P251" s="8" t="s">
        <v>2258</v>
      </c>
      <c r="Q251" s="132"/>
      <c r="R251" s="38"/>
      <c r="S251" s="8"/>
      <c r="T251" s="8"/>
      <c r="U251" s="8"/>
      <c r="V251" s="8"/>
      <c r="W251" s="8"/>
      <c r="X251" s="8"/>
      <c r="Y251" s="8"/>
      <c r="Z251" s="8"/>
      <c r="AA251" s="8"/>
    </row>
    <row r="252" spans="1:27" ht="78.75">
      <c r="A252" s="8" t="s">
        <v>18</v>
      </c>
      <c r="B252" s="29" t="s">
        <v>587</v>
      </c>
      <c r="C252" s="8" t="s">
        <v>737</v>
      </c>
      <c r="D252" s="8" t="s">
        <v>738</v>
      </c>
      <c r="E252" s="8" t="s">
        <v>739</v>
      </c>
      <c r="F252" s="8"/>
      <c r="G252" s="8" t="s">
        <v>62</v>
      </c>
      <c r="H252" s="8" t="s">
        <v>623</v>
      </c>
      <c r="I252" s="9">
        <v>1</v>
      </c>
      <c r="J252" s="8" t="s">
        <v>8</v>
      </c>
      <c r="K252" s="8" t="s">
        <v>2258</v>
      </c>
      <c r="L252" s="283" t="s">
        <v>2273</v>
      </c>
      <c r="M252" s="8"/>
      <c r="N252" s="8"/>
      <c r="O252" s="281" t="s">
        <v>2303</v>
      </c>
      <c r="P252" s="8" t="s">
        <v>2258</v>
      </c>
      <c r="Q252" s="132"/>
      <c r="R252" s="38"/>
      <c r="S252" s="8"/>
      <c r="T252" s="8"/>
      <c r="U252" s="8"/>
      <c r="V252" s="8"/>
      <c r="W252" s="8"/>
      <c r="X252" s="8"/>
      <c r="Y252" s="8"/>
      <c r="Z252" s="8"/>
      <c r="AA252" s="8"/>
    </row>
    <row r="253" spans="1:27" ht="78.75">
      <c r="A253" s="8" t="s">
        <v>18</v>
      </c>
      <c r="B253" s="29" t="s">
        <v>587</v>
      </c>
      <c r="C253" s="8" t="s">
        <v>737</v>
      </c>
      <c r="D253" s="8" t="s">
        <v>740</v>
      </c>
      <c r="E253" s="8" t="s">
        <v>741</v>
      </c>
      <c r="F253" s="8"/>
      <c r="G253" s="8" t="s">
        <v>62</v>
      </c>
      <c r="H253" s="8" t="s">
        <v>742</v>
      </c>
      <c r="I253" s="9">
        <v>1</v>
      </c>
      <c r="J253" s="8" t="s">
        <v>8</v>
      </c>
      <c r="K253" s="8" t="s">
        <v>2258</v>
      </c>
      <c r="L253" s="283" t="s">
        <v>2273</v>
      </c>
      <c r="M253" s="8"/>
      <c r="N253" s="8"/>
      <c r="O253" s="281" t="s">
        <v>2303</v>
      </c>
      <c r="P253" s="8" t="s">
        <v>2258</v>
      </c>
      <c r="Q253" s="132"/>
      <c r="R253" s="38"/>
      <c r="S253" s="8"/>
      <c r="T253" s="8"/>
      <c r="U253" s="8"/>
      <c r="V253" s="8"/>
      <c r="W253" s="8"/>
      <c r="X253" s="8"/>
      <c r="Y253" s="8"/>
      <c r="Z253" s="8"/>
      <c r="AA253" s="8"/>
    </row>
    <row r="254" spans="1:27" ht="78.75">
      <c r="A254" s="8" t="s">
        <v>18</v>
      </c>
      <c r="B254" s="29" t="s">
        <v>587</v>
      </c>
      <c r="C254" s="8" t="s">
        <v>737</v>
      </c>
      <c r="D254" s="8" t="s">
        <v>743</v>
      </c>
      <c r="E254" s="8" t="s">
        <v>744</v>
      </c>
      <c r="F254" s="8"/>
      <c r="G254" s="8" t="s">
        <v>62</v>
      </c>
      <c r="H254" s="8" t="s">
        <v>745</v>
      </c>
      <c r="I254" s="9">
        <v>0.5</v>
      </c>
      <c r="J254" s="8" t="s">
        <v>8</v>
      </c>
      <c r="K254" s="8" t="s">
        <v>2258</v>
      </c>
      <c r="L254" s="283" t="s">
        <v>2273</v>
      </c>
      <c r="M254" s="8"/>
      <c r="N254" s="8"/>
      <c r="O254" s="281" t="s">
        <v>2303</v>
      </c>
      <c r="P254" s="8" t="s">
        <v>2258</v>
      </c>
      <c r="Q254" s="132"/>
      <c r="R254" s="38"/>
      <c r="S254" s="8"/>
      <c r="T254" s="8"/>
      <c r="U254" s="8"/>
      <c r="V254" s="8"/>
      <c r="W254" s="8"/>
      <c r="X254" s="8"/>
      <c r="Y254" s="8"/>
      <c r="Z254" s="8"/>
      <c r="AA254" s="8"/>
    </row>
    <row r="255" spans="1:27" ht="78.75">
      <c r="A255" s="8" t="s">
        <v>18</v>
      </c>
      <c r="B255" s="29" t="s">
        <v>587</v>
      </c>
      <c r="C255" s="8" t="s">
        <v>746</v>
      </c>
      <c r="D255" s="8" t="s">
        <v>747</v>
      </c>
      <c r="E255" s="8" t="s">
        <v>748</v>
      </c>
      <c r="F255" s="8"/>
      <c r="G255" s="8" t="s">
        <v>62</v>
      </c>
      <c r="H255" s="8" t="s">
        <v>749</v>
      </c>
      <c r="I255" s="9">
        <v>0.5</v>
      </c>
      <c r="J255" s="8" t="s">
        <v>8</v>
      </c>
      <c r="K255" s="8" t="s">
        <v>2258</v>
      </c>
      <c r="L255" s="283" t="s">
        <v>2273</v>
      </c>
      <c r="M255" s="8"/>
      <c r="N255" s="8"/>
      <c r="O255" s="281" t="s">
        <v>2303</v>
      </c>
      <c r="P255" s="8" t="s">
        <v>2258</v>
      </c>
      <c r="Q255" s="132"/>
      <c r="R255" s="38"/>
      <c r="S255" s="8"/>
      <c r="T255" s="8"/>
      <c r="U255" s="8"/>
      <c r="V255" s="8"/>
      <c r="W255" s="8"/>
      <c r="X255" s="8"/>
      <c r="Y255" s="8"/>
      <c r="Z255" s="8"/>
      <c r="AA255" s="8"/>
    </row>
    <row r="256" spans="1:27">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c r="A257" s="8" t="s">
        <v>20</v>
      </c>
      <c r="B257" s="31" t="s">
        <v>54</v>
      </c>
      <c r="C257" s="18" t="s">
        <v>751</v>
      </c>
      <c r="D257" s="18" t="s">
        <v>752</v>
      </c>
      <c r="E257" s="18" t="s">
        <v>753</v>
      </c>
      <c r="F257" s="20"/>
      <c r="G257" s="20" t="s">
        <v>62</v>
      </c>
      <c r="H257" s="20" t="s">
        <v>754</v>
      </c>
      <c r="I257" s="22" t="s">
        <v>485</v>
      </c>
      <c r="J257" s="20"/>
      <c r="K257" s="20"/>
      <c r="L257" s="278"/>
      <c r="M257" s="20"/>
      <c r="N257" s="20"/>
      <c r="O257" s="279"/>
      <c r="P257" s="20"/>
      <c r="Q257" s="132"/>
      <c r="R257" s="39"/>
      <c r="S257" s="20"/>
      <c r="T257" s="20"/>
      <c r="U257" s="20"/>
      <c r="V257" s="20"/>
      <c r="W257" s="20"/>
      <c r="X257" s="20"/>
      <c r="Y257" s="20"/>
      <c r="Z257" s="20"/>
      <c r="AA257" s="20"/>
    </row>
    <row r="258" spans="1:27" ht="220.5">
      <c r="A258" s="8" t="s">
        <v>20</v>
      </c>
      <c r="B258" s="31" t="s">
        <v>54</v>
      </c>
      <c r="C258" s="18" t="s">
        <v>751</v>
      </c>
      <c r="D258" s="18" t="s">
        <v>755</v>
      </c>
      <c r="E258" s="69" t="s">
        <v>756</v>
      </c>
      <c r="F258" s="8"/>
      <c r="G258" s="18" t="s">
        <v>62</v>
      </c>
      <c r="H258" s="18" t="s">
        <v>754</v>
      </c>
      <c r="I258" s="18" t="s">
        <v>485</v>
      </c>
      <c r="J258" s="8" t="s">
        <v>8</v>
      </c>
      <c r="K258" s="8" t="s">
        <v>2501</v>
      </c>
      <c r="L258" s="283" t="s">
        <v>2273</v>
      </c>
      <c r="M258" s="8" t="s">
        <v>10</v>
      </c>
      <c r="N258" s="8"/>
      <c r="O258" s="281" t="s">
        <v>2303</v>
      </c>
      <c r="P258" s="8" t="s">
        <v>2502</v>
      </c>
      <c r="Q258" s="132"/>
      <c r="R258" s="38"/>
      <c r="S258" s="8"/>
      <c r="T258" s="8"/>
      <c r="U258" s="8"/>
      <c r="V258" s="8"/>
      <c r="W258" s="8"/>
      <c r="X258" s="8"/>
      <c r="Y258" s="8"/>
      <c r="Z258" s="8"/>
      <c r="AA258" s="8"/>
    </row>
    <row r="259" spans="1:27" ht="78.75">
      <c r="A259" s="8" t="s">
        <v>20</v>
      </c>
      <c r="B259" s="31" t="s">
        <v>54</v>
      </c>
      <c r="C259" s="18" t="s">
        <v>751</v>
      </c>
      <c r="D259" s="18" t="s">
        <v>757</v>
      </c>
      <c r="E259" s="69" t="s">
        <v>758</v>
      </c>
      <c r="F259" s="8"/>
      <c r="G259" s="18" t="s">
        <v>62</v>
      </c>
      <c r="H259" s="18" t="s">
        <v>754</v>
      </c>
      <c r="I259" s="18" t="s">
        <v>485</v>
      </c>
      <c r="J259" s="8" t="s">
        <v>8</v>
      </c>
      <c r="K259" s="8" t="s">
        <v>2258</v>
      </c>
      <c r="L259" s="283" t="s">
        <v>2273</v>
      </c>
      <c r="M259" s="8" t="s">
        <v>10</v>
      </c>
      <c r="N259" s="8"/>
      <c r="O259" s="281" t="s">
        <v>2303</v>
      </c>
      <c r="P259" s="8" t="s">
        <v>2258</v>
      </c>
      <c r="Q259" s="132"/>
      <c r="R259" s="38"/>
      <c r="S259" s="8"/>
      <c r="T259" s="8"/>
      <c r="U259" s="8"/>
      <c r="V259" s="8"/>
      <c r="W259" s="8"/>
      <c r="X259" s="8"/>
      <c r="Y259" s="8"/>
      <c r="Z259" s="8"/>
      <c r="AA259" s="8"/>
    </row>
    <row r="260" spans="1:27" ht="63">
      <c r="A260" s="8" t="s">
        <v>20</v>
      </c>
      <c r="B260" s="31" t="s">
        <v>54</v>
      </c>
      <c r="C260" s="18" t="s">
        <v>751</v>
      </c>
      <c r="D260" s="18" t="s">
        <v>759</v>
      </c>
      <c r="E260" s="69" t="s">
        <v>760</v>
      </c>
      <c r="F260" s="8"/>
      <c r="G260" s="18" t="s">
        <v>62</v>
      </c>
      <c r="H260" s="18" t="s">
        <v>754</v>
      </c>
      <c r="I260" s="18" t="s">
        <v>485</v>
      </c>
      <c r="J260" s="8" t="s">
        <v>8</v>
      </c>
      <c r="K260" s="8" t="s">
        <v>2258</v>
      </c>
      <c r="L260" s="283" t="s">
        <v>2273</v>
      </c>
      <c r="M260" s="8" t="s">
        <v>10</v>
      </c>
      <c r="N260" s="8"/>
      <c r="O260" s="281" t="s">
        <v>2303</v>
      </c>
      <c r="P260" s="8" t="s">
        <v>2258</v>
      </c>
      <c r="Q260" s="132"/>
      <c r="R260" s="38"/>
      <c r="S260" s="8"/>
      <c r="T260" s="8"/>
      <c r="U260" s="8"/>
      <c r="V260" s="8"/>
      <c r="W260" s="8"/>
      <c r="X260" s="8"/>
      <c r="Y260" s="8"/>
      <c r="Z260" s="8"/>
      <c r="AA260" s="8"/>
    </row>
    <row r="261" spans="1:27" ht="63">
      <c r="A261" s="8" t="s">
        <v>20</v>
      </c>
      <c r="B261" s="31" t="s">
        <v>54</v>
      </c>
      <c r="C261" s="18" t="s">
        <v>751</v>
      </c>
      <c r="D261" s="18" t="s">
        <v>761</v>
      </c>
      <c r="E261" s="69" t="s">
        <v>762</v>
      </c>
      <c r="F261" s="8"/>
      <c r="G261" s="18" t="s">
        <v>62</v>
      </c>
      <c r="H261" s="18" t="s">
        <v>754</v>
      </c>
      <c r="I261" s="18" t="s">
        <v>485</v>
      </c>
      <c r="J261" s="8" t="s">
        <v>8</v>
      </c>
      <c r="K261" s="8" t="s">
        <v>2258</v>
      </c>
      <c r="L261" s="283" t="s">
        <v>2273</v>
      </c>
      <c r="M261" s="8" t="s">
        <v>10</v>
      </c>
      <c r="N261" s="8"/>
      <c r="O261" s="281" t="s">
        <v>2303</v>
      </c>
      <c r="P261" s="8" t="s">
        <v>2258</v>
      </c>
      <c r="Q261" s="132"/>
      <c r="R261" s="38"/>
      <c r="S261" s="8"/>
      <c r="T261" s="8"/>
      <c r="U261" s="8"/>
      <c r="V261" s="8"/>
      <c r="W261" s="8"/>
      <c r="X261" s="8"/>
      <c r="Y261" s="8"/>
      <c r="Z261" s="8"/>
      <c r="AA261" s="8"/>
    </row>
    <row r="262" spans="1:27" ht="63">
      <c r="A262" s="8" t="s">
        <v>20</v>
      </c>
      <c r="B262" s="31" t="s">
        <v>54</v>
      </c>
      <c r="C262" s="18" t="s">
        <v>751</v>
      </c>
      <c r="D262" s="18" t="s">
        <v>763</v>
      </c>
      <c r="E262" s="69" t="s">
        <v>764</v>
      </c>
      <c r="F262" s="8"/>
      <c r="G262" s="18" t="s">
        <v>62</v>
      </c>
      <c r="H262" s="18" t="s">
        <v>754</v>
      </c>
      <c r="I262" s="18" t="s">
        <v>485</v>
      </c>
      <c r="J262" s="8" t="s">
        <v>8</v>
      </c>
      <c r="K262" s="8" t="s">
        <v>2258</v>
      </c>
      <c r="L262" s="283" t="s">
        <v>2273</v>
      </c>
      <c r="M262" s="8" t="s">
        <v>10</v>
      </c>
      <c r="N262" s="8"/>
      <c r="O262" s="281" t="s">
        <v>2303</v>
      </c>
      <c r="P262" s="8" t="s">
        <v>2258</v>
      </c>
      <c r="Q262" s="132"/>
      <c r="R262" s="38"/>
      <c r="S262" s="8"/>
      <c r="T262" s="8"/>
      <c r="U262" s="8"/>
      <c r="V262" s="8"/>
      <c r="W262" s="8"/>
      <c r="X262" s="8"/>
      <c r="Y262" s="8"/>
      <c r="Z262" s="8"/>
      <c r="AA262" s="8"/>
    </row>
    <row r="263" spans="1:27" ht="63">
      <c r="A263" s="8" t="s">
        <v>20</v>
      </c>
      <c r="B263" s="31" t="s">
        <v>54</v>
      </c>
      <c r="C263" s="18" t="s">
        <v>751</v>
      </c>
      <c r="D263" s="18" t="s">
        <v>765</v>
      </c>
      <c r="E263" s="69" t="s">
        <v>766</v>
      </c>
      <c r="F263" s="8"/>
      <c r="G263" s="18" t="s">
        <v>62</v>
      </c>
      <c r="H263" s="18" t="s">
        <v>754</v>
      </c>
      <c r="I263" s="18" t="s">
        <v>485</v>
      </c>
      <c r="J263" s="8" t="s">
        <v>8</v>
      </c>
      <c r="K263" s="8" t="s">
        <v>2258</v>
      </c>
      <c r="L263" s="283" t="s">
        <v>2273</v>
      </c>
      <c r="M263" s="8" t="s">
        <v>10</v>
      </c>
      <c r="N263" s="8"/>
      <c r="O263" s="281" t="s">
        <v>2503</v>
      </c>
      <c r="P263" s="8" t="s">
        <v>2258</v>
      </c>
      <c r="Q263" s="132"/>
      <c r="R263" s="38"/>
      <c r="S263" s="8"/>
      <c r="T263" s="8"/>
      <c r="U263" s="8"/>
      <c r="V263" s="8"/>
      <c r="W263" s="8"/>
      <c r="X263" s="8"/>
      <c r="Y263" s="8"/>
      <c r="Z263" s="8"/>
      <c r="AA263" s="8"/>
    </row>
    <row r="264" spans="1:27" ht="63">
      <c r="A264" s="8" t="s">
        <v>20</v>
      </c>
      <c r="B264" s="31" t="s">
        <v>54</v>
      </c>
      <c r="C264" s="18" t="s">
        <v>751</v>
      </c>
      <c r="D264" s="18" t="s">
        <v>767</v>
      </c>
      <c r="E264" s="69" t="s">
        <v>768</v>
      </c>
      <c r="F264" s="8"/>
      <c r="G264" s="18" t="s">
        <v>62</v>
      </c>
      <c r="H264" s="18" t="s">
        <v>754</v>
      </c>
      <c r="I264" s="18" t="s">
        <v>485</v>
      </c>
      <c r="J264" s="8" t="s">
        <v>8</v>
      </c>
      <c r="K264" s="8" t="s">
        <v>2258</v>
      </c>
      <c r="L264" s="283" t="s">
        <v>2273</v>
      </c>
      <c r="M264" s="8" t="s">
        <v>10</v>
      </c>
      <c r="N264" s="8"/>
      <c r="O264" s="281" t="s">
        <v>2504</v>
      </c>
      <c r="P264" s="8" t="s">
        <v>2258</v>
      </c>
      <c r="Q264" s="132"/>
      <c r="R264" s="38"/>
      <c r="S264" s="8"/>
      <c r="T264" s="8"/>
      <c r="U264" s="8"/>
      <c r="V264" s="8"/>
      <c r="W264" s="8"/>
      <c r="X264" s="8"/>
      <c r="Y264" s="8"/>
      <c r="Z264" s="8"/>
      <c r="AA264" s="8"/>
    </row>
    <row r="265" spans="1:27" ht="63">
      <c r="A265" s="8" t="s">
        <v>20</v>
      </c>
      <c r="B265" s="31" t="s">
        <v>54</v>
      </c>
      <c r="C265" s="18" t="s">
        <v>751</v>
      </c>
      <c r="D265" s="18" t="s">
        <v>769</v>
      </c>
      <c r="E265" s="69" t="s">
        <v>770</v>
      </c>
      <c r="F265" s="8"/>
      <c r="G265" s="18" t="s">
        <v>62</v>
      </c>
      <c r="H265" s="18" t="s">
        <v>754</v>
      </c>
      <c r="I265" s="18" t="s">
        <v>485</v>
      </c>
      <c r="J265" s="8" t="s">
        <v>8</v>
      </c>
      <c r="K265" s="8" t="s">
        <v>2258</v>
      </c>
      <c r="L265" s="283" t="s">
        <v>2273</v>
      </c>
      <c r="M265" s="8" t="s">
        <v>10</v>
      </c>
      <c r="N265" s="8"/>
      <c r="O265" s="281" t="s">
        <v>2504</v>
      </c>
      <c r="P265" s="8" t="s">
        <v>2258</v>
      </c>
      <c r="Q265" s="132"/>
      <c r="R265" s="38"/>
      <c r="S265" s="8"/>
      <c r="T265" s="8"/>
      <c r="U265" s="8"/>
      <c r="V265" s="8"/>
      <c r="W265" s="8"/>
      <c r="X265" s="8"/>
      <c r="Y265" s="8"/>
      <c r="Z265" s="8"/>
      <c r="AA265" s="8"/>
    </row>
    <row r="266" spans="1:27" ht="110.25">
      <c r="A266" s="8" t="s">
        <v>20</v>
      </c>
      <c r="B266" s="31" t="s">
        <v>54</v>
      </c>
      <c r="C266" s="18" t="s">
        <v>751</v>
      </c>
      <c r="D266" s="18" t="s">
        <v>771</v>
      </c>
      <c r="E266" s="18" t="s">
        <v>772</v>
      </c>
      <c r="F266" s="8" t="s">
        <v>2253</v>
      </c>
      <c r="G266" s="18" t="s">
        <v>62</v>
      </c>
      <c r="H266" s="18" t="s">
        <v>773</v>
      </c>
      <c r="I266" s="18" t="s">
        <v>139</v>
      </c>
      <c r="J266" s="8" t="s">
        <v>8</v>
      </c>
      <c r="K266" s="8" t="s">
        <v>2258</v>
      </c>
      <c r="L266" s="283" t="s">
        <v>2273</v>
      </c>
      <c r="M266" s="8"/>
      <c r="N266" s="8"/>
      <c r="O266" s="281" t="s">
        <v>2504</v>
      </c>
      <c r="P266" s="8" t="s">
        <v>2505</v>
      </c>
      <c r="Q266" s="132"/>
      <c r="R266" s="38"/>
      <c r="S266" s="8"/>
      <c r="T266" s="8"/>
      <c r="U266" s="8"/>
      <c r="V266" s="8"/>
      <c r="W266" s="8"/>
      <c r="X266" s="8"/>
      <c r="Y266" s="8"/>
      <c r="Z266" s="8"/>
      <c r="AA266" s="8"/>
    </row>
    <row r="267" spans="1:27" ht="204.75">
      <c r="A267" s="8" t="s">
        <v>20</v>
      </c>
      <c r="B267" s="31" t="s">
        <v>54</v>
      </c>
      <c r="C267" s="8" t="s">
        <v>774</v>
      </c>
      <c r="D267" s="8" t="s">
        <v>775</v>
      </c>
      <c r="E267" s="8" t="s">
        <v>776</v>
      </c>
      <c r="F267" s="8" t="s">
        <v>2259</v>
      </c>
      <c r="G267" s="8" t="s">
        <v>62</v>
      </c>
      <c r="H267" s="8" t="s">
        <v>777</v>
      </c>
      <c r="I267" s="8" t="s">
        <v>494</v>
      </c>
      <c r="J267" s="8" t="s">
        <v>8</v>
      </c>
      <c r="K267" s="8" t="s">
        <v>2258</v>
      </c>
      <c r="L267" s="283" t="s">
        <v>2273</v>
      </c>
      <c r="M267" s="8"/>
      <c r="N267" s="8"/>
      <c r="O267" s="281" t="s">
        <v>2303</v>
      </c>
      <c r="P267" s="8" t="s">
        <v>2506</v>
      </c>
      <c r="Q267" s="132"/>
      <c r="R267" s="38"/>
      <c r="S267" s="8"/>
      <c r="T267" s="8"/>
      <c r="U267" s="8"/>
      <c r="V267" s="8"/>
      <c r="W267" s="8"/>
      <c r="X267" s="8"/>
      <c r="Y267" s="8"/>
      <c r="Z267" s="8"/>
      <c r="AA267" s="8"/>
    </row>
    <row r="268" spans="1:27" ht="110.25">
      <c r="A268" s="8" t="s">
        <v>20</v>
      </c>
      <c r="B268" s="31" t="s">
        <v>54</v>
      </c>
      <c r="C268" s="8" t="s">
        <v>774</v>
      </c>
      <c r="D268" s="8" t="s">
        <v>778</v>
      </c>
      <c r="E268" s="8" t="s">
        <v>779</v>
      </c>
      <c r="F268" s="8" t="s">
        <v>2259</v>
      </c>
      <c r="G268" s="8" t="s">
        <v>62</v>
      </c>
      <c r="H268" s="8" t="s">
        <v>780</v>
      </c>
      <c r="I268" s="8">
        <v>5</v>
      </c>
      <c r="J268" s="8" t="s">
        <v>8</v>
      </c>
      <c r="K268" s="8" t="s">
        <v>2258</v>
      </c>
      <c r="L268" s="283" t="s">
        <v>2273</v>
      </c>
      <c r="M268" s="8"/>
      <c r="N268" s="8"/>
      <c r="O268" s="281" t="s">
        <v>2303</v>
      </c>
      <c r="P268" s="8"/>
      <c r="Q268" s="132"/>
      <c r="R268" s="38"/>
      <c r="S268" s="8"/>
      <c r="T268" s="8"/>
      <c r="U268" s="8"/>
      <c r="V268" s="8"/>
      <c r="W268" s="8"/>
      <c r="X268" s="8"/>
      <c r="Y268" s="8"/>
      <c r="Z268" s="8"/>
      <c r="AA268" s="8"/>
    </row>
    <row r="269" spans="1:27" ht="110.25">
      <c r="A269" s="8" t="s">
        <v>20</v>
      </c>
      <c r="B269" s="31" t="s">
        <v>54</v>
      </c>
      <c r="C269" s="8" t="s">
        <v>774</v>
      </c>
      <c r="D269" s="8" t="s">
        <v>781</v>
      </c>
      <c r="E269" s="8" t="s">
        <v>782</v>
      </c>
      <c r="F269" s="8" t="s">
        <v>2259</v>
      </c>
      <c r="G269" s="8" t="s">
        <v>62</v>
      </c>
      <c r="H269" s="8" t="s">
        <v>783</v>
      </c>
      <c r="I269" s="9">
        <v>0.5</v>
      </c>
      <c r="J269" s="8" t="s">
        <v>8</v>
      </c>
      <c r="K269" s="8" t="s">
        <v>2258</v>
      </c>
      <c r="L269" s="283" t="s">
        <v>2273</v>
      </c>
      <c r="M269" s="8"/>
      <c r="N269" s="8"/>
      <c r="O269" s="281" t="s">
        <v>2303</v>
      </c>
      <c r="P269" s="8" t="s">
        <v>2507</v>
      </c>
      <c r="Q269" s="132"/>
      <c r="R269" s="38"/>
      <c r="S269" s="8"/>
      <c r="T269" s="8"/>
      <c r="U269" s="8"/>
      <c r="V269" s="8"/>
      <c r="W269" s="8"/>
      <c r="X269" s="8"/>
      <c r="Y269" s="8"/>
      <c r="Z269" s="8"/>
      <c r="AA269" s="8"/>
    </row>
    <row r="270" spans="1:27" ht="110.25">
      <c r="A270" s="8" t="s">
        <v>20</v>
      </c>
      <c r="B270" s="31" t="s">
        <v>54</v>
      </c>
      <c r="C270" s="8" t="s">
        <v>774</v>
      </c>
      <c r="D270" s="8" t="s">
        <v>784</v>
      </c>
      <c r="E270" s="8" t="s">
        <v>785</v>
      </c>
      <c r="F270" s="8" t="s">
        <v>2259</v>
      </c>
      <c r="G270" s="8" t="s">
        <v>62</v>
      </c>
      <c r="H270" s="8" t="s">
        <v>786</v>
      </c>
      <c r="I270" s="8" t="s">
        <v>214</v>
      </c>
      <c r="J270" s="8" t="s">
        <v>8</v>
      </c>
      <c r="K270" s="8" t="s">
        <v>2258</v>
      </c>
      <c r="L270" s="283" t="s">
        <v>2273</v>
      </c>
      <c r="M270" s="8"/>
      <c r="N270" s="8"/>
      <c r="O270" s="281" t="s">
        <v>2303</v>
      </c>
      <c r="P270" s="8" t="s">
        <v>2258</v>
      </c>
      <c r="Q270" s="132"/>
      <c r="R270" s="38"/>
      <c r="S270" s="8"/>
      <c r="T270" s="8"/>
      <c r="U270" s="8"/>
      <c r="V270" s="8"/>
      <c r="W270" s="8"/>
      <c r="X270" s="8"/>
      <c r="Y270" s="8"/>
      <c r="Z270" s="8"/>
      <c r="AA270" s="8"/>
    </row>
    <row r="271" spans="1:27" ht="110.25">
      <c r="A271" s="8" t="s">
        <v>20</v>
      </c>
      <c r="B271" s="31" t="s">
        <v>54</v>
      </c>
      <c r="C271" s="8" t="s">
        <v>774</v>
      </c>
      <c r="D271" s="8" t="s">
        <v>787</v>
      </c>
      <c r="E271" s="8" t="s">
        <v>788</v>
      </c>
      <c r="F271" s="8" t="s">
        <v>2259</v>
      </c>
      <c r="G271" s="8" t="s">
        <v>62</v>
      </c>
      <c r="H271" s="8" t="s">
        <v>789</v>
      </c>
      <c r="I271" s="9">
        <v>1</v>
      </c>
      <c r="J271" s="8" t="s">
        <v>8</v>
      </c>
      <c r="K271" s="8"/>
      <c r="L271" s="283" t="s">
        <v>2273</v>
      </c>
      <c r="M271" s="8" t="s">
        <v>10</v>
      </c>
      <c r="N271" s="8"/>
      <c r="O271" s="281" t="s">
        <v>2303</v>
      </c>
      <c r="P271" s="8" t="s">
        <v>2508</v>
      </c>
      <c r="Q271" s="132"/>
      <c r="R271" s="38"/>
      <c r="S271" s="8"/>
      <c r="T271" s="8"/>
      <c r="U271" s="8"/>
      <c r="V271" s="8"/>
      <c r="W271" s="8"/>
      <c r="X271" s="8"/>
      <c r="Y271" s="8"/>
      <c r="Z271" s="8"/>
      <c r="AA271" s="8"/>
    </row>
    <row r="272" spans="1:27" ht="110.25">
      <c r="A272" s="8" t="s">
        <v>20</v>
      </c>
      <c r="B272" s="31" t="s">
        <v>54</v>
      </c>
      <c r="C272" s="8" t="s">
        <v>774</v>
      </c>
      <c r="D272" s="8" t="s">
        <v>790</v>
      </c>
      <c r="E272" s="8" t="s">
        <v>791</v>
      </c>
      <c r="F272" s="8" t="s">
        <v>2259</v>
      </c>
      <c r="G272" s="8" t="s">
        <v>62</v>
      </c>
      <c r="H272" s="8" t="s">
        <v>789</v>
      </c>
      <c r="I272" s="9">
        <v>1</v>
      </c>
      <c r="J272" s="8" t="s">
        <v>8</v>
      </c>
      <c r="K272" s="8" t="s">
        <v>2258</v>
      </c>
      <c r="L272" s="283" t="s">
        <v>2273</v>
      </c>
      <c r="M272" s="8" t="s">
        <v>10</v>
      </c>
      <c r="N272" s="8"/>
      <c r="O272" s="281" t="s">
        <v>2303</v>
      </c>
      <c r="P272" s="8" t="s">
        <v>2258</v>
      </c>
      <c r="Q272" s="132"/>
      <c r="R272" s="38"/>
      <c r="S272" s="8"/>
      <c r="T272" s="8"/>
      <c r="U272" s="8"/>
      <c r="V272" s="8"/>
      <c r="W272" s="8"/>
      <c r="X272" s="8"/>
      <c r="Y272" s="8"/>
      <c r="Z272" s="8"/>
      <c r="AA272" s="8"/>
    </row>
    <row r="273" spans="1:27" ht="31.5" hidden="1">
      <c r="A273" s="20" t="s">
        <v>20</v>
      </c>
      <c r="B273" s="32" t="s">
        <v>54</v>
      </c>
      <c r="C273" s="19" t="s">
        <v>792</v>
      </c>
      <c r="D273" s="19" t="s">
        <v>582</v>
      </c>
      <c r="E273" s="19" t="s">
        <v>582</v>
      </c>
      <c r="F273" s="19" t="s">
        <v>582</v>
      </c>
      <c r="G273" s="19" t="s">
        <v>582</v>
      </c>
      <c r="H273" s="19" t="s">
        <v>582</v>
      </c>
      <c r="I273" s="19" t="s">
        <v>582</v>
      </c>
      <c r="J273" s="19" t="s">
        <v>582</v>
      </c>
      <c r="K273" s="19" t="s">
        <v>582</v>
      </c>
      <c r="L273" s="19" t="s">
        <v>582</v>
      </c>
      <c r="M273" s="19" t="s">
        <v>582</v>
      </c>
      <c r="N273" s="19" t="s">
        <v>582</v>
      </c>
      <c r="O273" s="19" t="s">
        <v>582</v>
      </c>
      <c r="P273" s="19" t="s">
        <v>582</v>
      </c>
      <c r="Q273" s="48"/>
      <c r="R273" s="44" t="s">
        <v>582</v>
      </c>
      <c r="S273" s="19" t="s">
        <v>582</v>
      </c>
      <c r="T273" s="19" t="s">
        <v>582</v>
      </c>
      <c r="U273" s="19"/>
      <c r="V273" s="19" t="s">
        <v>582</v>
      </c>
      <c r="W273" s="19" t="s">
        <v>582</v>
      </c>
      <c r="X273" s="19" t="s">
        <v>582</v>
      </c>
      <c r="Y273" s="19" t="s">
        <v>582</v>
      </c>
      <c r="Z273" s="19" t="s">
        <v>582</v>
      </c>
      <c r="AA273" s="19" t="s">
        <v>582</v>
      </c>
    </row>
    <row r="274" spans="1:27" ht="78.75">
      <c r="A274" s="8" t="s">
        <v>20</v>
      </c>
      <c r="B274" s="29" t="s">
        <v>195</v>
      </c>
      <c r="C274" s="8" t="s">
        <v>793</v>
      </c>
      <c r="D274" s="8" t="s">
        <v>794</v>
      </c>
      <c r="E274" s="8" t="s">
        <v>795</v>
      </c>
      <c r="F274" s="8"/>
      <c r="G274" s="8" t="s">
        <v>62</v>
      </c>
      <c r="H274" s="8" t="s">
        <v>796</v>
      </c>
      <c r="I274" s="9">
        <v>1</v>
      </c>
      <c r="J274" s="8" t="s">
        <v>8</v>
      </c>
      <c r="K274" s="8" t="s">
        <v>2509</v>
      </c>
      <c r="L274" s="283" t="s">
        <v>2273</v>
      </c>
      <c r="M274" s="8" t="s">
        <v>10</v>
      </c>
      <c r="N274" s="8" t="s">
        <v>2510</v>
      </c>
      <c r="O274" s="281"/>
      <c r="P274" s="8" t="s">
        <v>2511</v>
      </c>
      <c r="Q274" s="132"/>
      <c r="R274" s="38"/>
      <c r="S274" s="8"/>
      <c r="T274" s="8"/>
      <c r="U274" s="8"/>
      <c r="V274" s="8"/>
      <c r="W274" s="8"/>
      <c r="X274" s="8"/>
      <c r="Y274" s="8"/>
      <c r="Z274" s="8"/>
      <c r="AA274" s="8"/>
    </row>
    <row r="275" spans="1:27" ht="110.25">
      <c r="A275" s="8" t="s">
        <v>20</v>
      </c>
      <c r="B275" s="29" t="s">
        <v>195</v>
      </c>
      <c r="C275" s="8" t="s">
        <v>793</v>
      </c>
      <c r="D275" s="8" t="s">
        <v>797</v>
      </c>
      <c r="E275" s="8" t="s">
        <v>798</v>
      </c>
      <c r="F275" s="20"/>
      <c r="G275" s="20" t="s">
        <v>62</v>
      </c>
      <c r="H275" s="20"/>
      <c r="I275" s="22"/>
      <c r="J275" s="20"/>
      <c r="K275" s="20"/>
      <c r="L275" s="278"/>
      <c r="M275" s="20"/>
      <c r="N275" s="20"/>
      <c r="O275" s="279"/>
      <c r="P275" s="20" t="s">
        <v>2512</v>
      </c>
      <c r="Q275" s="132"/>
      <c r="R275" s="39"/>
      <c r="S275" s="20"/>
      <c r="T275" s="20"/>
      <c r="U275" s="20"/>
      <c r="V275" s="20"/>
      <c r="W275" s="20"/>
      <c r="X275" s="20"/>
      <c r="Y275" s="20"/>
      <c r="Z275" s="20"/>
      <c r="AA275" s="20"/>
    </row>
    <row r="276" spans="1:27" ht="97.15" customHeight="1">
      <c r="A276" s="8" t="s">
        <v>20</v>
      </c>
      <c r="B276" s="29" t="s">
        <v>195</v>
      </c>
      <c r="C276" s="8" t="s">
        <v>793</v>
      </c>
      <c r="D276" s="8" t="s">
        <v>799</v>
      </c>
      <c r="E276" s="69" t="s">
        <v>800</v>
      </c>
      <c r="F276" s="8" t="s">
        <v>2259</v>
      </c>
      <c r="G276" s="8" t="s">
        <v>62</v>
      </c>
      <c r="H276" s="8" t="s">
        <v>801</v>
      </c>
      <c r="I276" s="9">
        <v>1</v>
      </c>
      <c r="J276" s="8" t="s">
        <v>8</v>
      </c>
      <c r="K276" s="8"/>
      <c r="L276" s="283" t="s">
        <v>2273</v>
      </c>
      <c r="M276" s="8" t="s">
        <v>10</v>
      </c>
      <c r="N276" s="8" t="s">
        <v>2513</v>
      </c>
      <c r="O276" s="281">
        <v>9600</v>
      </c>
      <c r="P276" s="8" t="s">
        <v>2514</v>
      </c>
      <c r="Q276" s="132"/>
      <c r="R276" s="38"/>
      <c r="S276" s="8"/>
      <c r="T276" s="8"/>
      <c r="U276" s="8"/>
      <c r="V276" s="8"/>
      <c r="W276" s="8"/>
      <c r="X276" s="8"/>
      <c r="Y276" s="8"/>
      <c r="Z276" s="8"/>
      <c r="AA276" s="8"/>
    </row>
    <row r="277" spans="1:27" ht="110.25">
      <c r="A277" s="8" t="s">
        <v>20</v>
      </c>
      <c r="B277" s="29" t="s">
        <v>195</v>
      </c>
      <c r="C277" s="8" t="s">
        <v>793</v>
      </c>
      <c r="D277" s="8" t="s">
        <v>802</v>
      </c>
      <c r="E277" s="69" t="s">
        <v>803</v>
      </c>
      <c r="F277" s="8" t="s">
        <v>2259</v>
      </c>
      <c r="G277" s="8" t="s">
        <v>62</v>
      </c>
      <c r="H277" s="8" t="s">
        <v>804</v>
      </c>
      <c r="I277" s="9">
        <v>1</v>
      </c>
      <c r="J277" s="8" t="s">
        <v>8</v>
      </c>
      <c r="K277" s="8"/>
      <c r="L277" s="283" t="s">
        <v>2273</v>
      </c>
      <c r="M277" s="8" t="s">
        <v>10</v>
      </c>
      <c r="N277" s="8" t="s">
        <v>2515</v>
      </c>
      <c r="O277" s="281">
        <v>4000</v>
      </c>
      <c r="P277" s="8" t="s">
        <v>2516</v>
      </c>
      <c r="Q277" s="132"/>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283"/>
      <c r="M278" s="8"/>
      <c r="N278" s="8"/>
      <c r="O278" s="281"/>
      <c r="P278" s="8"/>
      <c r="Q278" s="132"/>
      <c r="R278" s="38"/>
      <c r="S278" s="8"/>
      <c r="T278" s="8"/>
      <c r="U278" s="8"/>
      <c r="V278" s="8"/>
      <c r="W278" s="8"/>
      <c r="X278" s="8"/>
      <c r="Y278" s="8"/>
      <c r="Z278" s="8"/>
      <c r="AA278" s="8"/>
    </row>
    <row r="279" spans="1:27" ht="141.75">
      <c r="A279" s="8" t="s">
        <v>20</v>
      </c>
      <c r="B279" s="29" t="s">
        <v>195</v>
      </c>
      <c r="C279" s="8" t="s">
        <v>808</v>
      </c>
      <c r="D279" s="8" t="s">
        <v>809</v>
      </c>
      <c r="E279" s="8" t="s">
        <v>810</v>
      </c>
      <c r="F279" s="8" t="s">
        <v>2259</v>
      </c>
      <c r="G279" s="8" t="s">
        <v>62</v>
      </c>
      <c r="H279" s="8" t="s">
        <v>811</v>
      </c>
      <c r="I279" s="9">
        <v>1</v>
      </c>
      <c r="J279" s="8" t="s">
        <v>8</v>
      </c>
      <c r="K279" s="8"/>
      <c r="L279" s="283" t="s">
        <v>2329</v>
      </c>
      <c r="M279" s="8" t="s">
        <v>11</v>
      </c>
      <c r="N279" s="8" t="s">
        <v>2517</v>
      </c>
      <c r="O279" s="281">
        <v>3000</v>
      </c>
      <c r="P279" s="8" t="s">
        <v>2518</v>
      </c>
      <c r="Q279" s="132"/>
      <c r="R279" s="38"/>
      <c r="S279" s="8"/>
      <c r="T279" s="8"/>
      <c r="U279" s="8"/>
      <c r="V279" s="8"/>
      <c r="W279" s="8"/>
      <c r="X279" s="8"/>
      <c r="Y279" s="8"/>
      <c r="Z279" s="8"/>
      <c r="AA279" s="8"/>
    </row>
    <row r="280" spans="1:27" ht="173.25">
      <c r="A280" s="8" t="s">
        <v>20</v>
      </c>
      <c r="B280" s="29" t="s">
        <v>195</v>
      </c>
      <c r="C280" s="8" t="s">
        <v>808</v>
      </c>
      <c r="D280" s="8" t="s">
        <v>812</v>
      </c>
      <c r="E280" s="8" t="s">
        <v>813</v>
      </c>
      <c r="F280" s="8" t="s">
        <v>2259</v>
      </c>
      <c r="G280" s="8" t="s">
        <v>62</v>
      </c>
      <c r="H280" s="8" t="s">
        <v>814</v>
      </c>
      <c r="I280" s="8" t="s">
        <v>210</v>
      </c>
      <c r="J280" s="8" t="s">
        <v>8</v>
      </c>
      <c r="K280" s="8" t="s">
        <v>2492</v>
      </c>
      <c r="L280" s="283" t="s">
        <v>2273</v>
      </c>
      <c r="M280" s="8"/>
      <c r="N280" s="8"/>
      <c r="O280" s="281" t="s">
        <v>2303</v>
      </c>
      <c r="P280" s="8" t="s">
        <v>2519</v>
      </c>
      <c r="Q280" s="132"/>
      <c r="R280" s="38"/>
      <c r="S280" s="8"/>
      <c r="T280" s="8"/>
      <c r="U280" s="8"/>
      <c r="V280" s="8"/>
      <c r="W280" s="8"/>
      <c r="X280" s="8"/>
      <c r="Y280" s="8"/>
      <c r="Z280" s="8"/>
      <c r="AA280" s="8"/>
    </row>
    <row r="281" spans="1:27" ht="110.25">
      <c r="A281" s="8" t="s">
        <v>20</v>
      </c>
      <c r="B281" s="29" t="s">
        <v>195</v>
      </c>
      <c r="C281" s="8" t="s">
        <v>815</v>
      </c>
      <c r="D281" s="8" t="s">
        <v>816</v>
      </c>
      <c r="E281" s="8" t="s">
        <v>253</v>
      </c>
      <c r="F281" s="8" t="s">
        <v>2259</v>
      </c>
      <c r="G281" s="8" t="s">
        <v>62</v>
      </c>
      <c r="H281" s="8" t="s">
        <v>254</v>
      </c>
      <c r="I281" s="9">
        <v>1</v>
      </c>
      <c r="J281" s="8" t="s">
        <v>8</v>
      </c>
      <c r="K281" s="8" t="s">
        <v>2520</v>
      </c>
      <c r="L281" s="283" t="s">
        <v>2273</v>
      </c>
      <c r="M281" s="8" t="s">
        <v>10</v>
      </c>
      <c r="N281" s="8" t="s">
        <v>2521</v>
      </c>
      <c r="O281" s="281"/>
      <c r="P281" s="8" t="s">
        <v>2470</v>
      </c>
      <c r="Q281" s="132"/>
      <c r="R281" s="38"/>
      <c r="S281" s="8"/>
      <c r="T281" s="8"/>
      <c r="U281" s="8"/>
      <c r="V281" s="8"/>
      <c r="W281" s="8"/>
      <c r="X281" s="8"/>
      <c r="Y281" s="8"/>
      <c r="Z281" s="8"/>
      <c r="AA281" s="8"/>
    </row>
    <row r="282" spans="1:27" ht="204.75">
      <c r="A282" s="8" t="s">
        <v>20</v>
      </c>
      <c r="B282" s="29" t="s">
        <v>195</v>
      </c>
      <c r="C282" s="8" t="s">
        <v>815</v>
      </c>
      <c r="D282" s="8" t="s">
        <v>817</v>
      </c>
      <c r="E282" s="8" t="s">
        <v>818</v>
      </c>
      <c r="F282" s="20"/>
      <c r="G282" s="20" t="s">
        <v>62</v>
      </c>
      <c r="H282" s="20"/>
      <c r="I282" s="22"/>
      <c r="J282" s="20"/>
      <c r="K282" s="20"/>
      <c r="L282" s="278"/>
      <c r="M282" s="20"/>
      <c r="N282" s="20"/>
      <c r="O282" s="279"/>
      <c r="P282" s="20"/>
      <c r="Q282" s="132"/>
      <c r="R282" s="39"/>
      <c r="S282" s="20"/>
      <c r="T282" s="20"/>
      <c r="U282" s="20"/>
      <c r="V282" s="20"/>
      <c r="W282" s="20"/>
      <c r="X282" s="20"/>
      <c r="Y282" s="20"/>
      <c r="Z282" s="20"/>
      <c r="AA282" s="20"/>
    </row>
    <row r="283" spans="1:27" ht="110.25">
      <c r="A283" s="8" t="s">
        <v>20</v>
      </c>
      <c r="B283" s="29" t="s">
        <v>195</v>
      </c>
      <c r="C283" s="8" t="s">
        <v>815</v>
      </c>
      <c r="D283" s="8" t="s">
        <v>819</v>
      </c>
      <c r="E283" s="69" t="s">
        <v>820</v>
      </c>
      <c r="F283" s="8" t="s">
        <v>2259</v>
      </c>
      <c r="G283" s="8" t="s">
        <v>62</v>
      </c>
      <c r="H283" s="8" t="s">
        <v>821</v>
      </c>
      <c r="I283" s="9">
        <v>1</v>
      </c>
      <c r="J283" s="8" t="s">
        <v>8</v>
      </c>
      <c r="K283" s="8" t="s">
        <v>2522</v>
      </c>
      <c r="L283" s="283" t="s">
        <v>2273</v>
      </c>
      <c r="M283" s="8"/>
      <c r="N283" s="8"/>
      <c r="O283" s="281" t="s">
        <v>2303</v>
      </c>
      <c r="P283" s="8" t="s">
        <v>2523</v>
      </c>
      <c r="Q283" s="132"/>
      <c r="R283" s="38"/>
      <c r="S283" s="8"/>
      <c r="T283" s="8"/>
      <c r="U283" s="8"/>
      <c r="V283" s="8"/>
      <c r="W283" s="8"/>
      <c r="X283" s="8"/>
      <c r="Y283" s="8"/>
      <c r="Z283" s="8"/>
      <c r="AA283" s="8"/>
    </row>
    <row r="284" spans="1:27" ht="110.25">
      <c r="A284" s="8" t="s">
        <v>20</v>
      </c>
      <c r="B284" s="29" t="s">
        <v>195</v>
      </c>
      <c r="C284" s="8" t="s">
        <v>815</v>
      </c>
      <c r="D284" s="8" t="s">
        <v>822</v>
      </c>
      <c r="E284" s="69" t="s">
        <v>823</v>
      </c>
      <c r="F284" s="8" t="s">
        <v>2327</v>
      </c>
      <c r="G284" s="8" t="s">
        <v>62</v>
      </c>
      <c r="H284" s="8" t="s">
        <v>824</v>
      </c>
      <c r="I284" s="9">
        <v>1</v>
      </c>
      <c r="J284" s="8" t="s">
        <v>8</v>
      </c>
      <c r="K284" s="8" t="s">
        <v>2524</v>
      </c>
      <c r="L284" s="283" t="s">
        <v>2273</v>
      </c>
      <c r="M284" s="8"/>
      <c r="N284" s="8"/>
      <c r="O284" s="281" t="s">
        <v>2303</v>
      </c>
      <c r="P284" s="8" t="s">
        <v>2525</v>
      </c>
      <c r="Q284" s="132"/>
      <c r="R284" s="38"/>
      <c r="S284" s="8"/>
      <c r="T284" s="8"/>
      <c r="U284" s="8"/>
      <c r="V284" s="8"/>
      <c r="W284" s="8"/>
      <c r="X284" s="8"/>
      <c r="Y284" s="8"/>
      <c r="Z284" s="8"/>
      <c r="AA284" s="8"/>
    </row>
    <row r="285" spans="1:27" ht="110.25">
      <c r="A285" s="8" t="s">
        <v>20</v>
      </c>
      <c r="B285" s="29" t="s">
        <v>195</v>
      </c>
      <c r="C285" s="8" t="s">
        <v>815</v>
      </c>
      <c r="D285" s="8" t="s">
        <v>825</v>
      </c>
      <c r="E285" s="8" t="s">
        <v>826</v>
      </c>
      <c r="F285" s="8"/>
      <c r="G285" s="8" t="s">
        <v>62</v>
      </c>
      <c r="H285" s="8" t="s">
        <v>827</v>
      </c>
      <c r="I285" s="9">
        <v>1</v>
      </c>
      <c r="J285" s="8" t="s">
        <v>8</v>
      </c>
      <c r="K285" s="8"/>
      <c r="L285" s="283" t="s">
        <v>2273</v>
      </c>
      <c r="M285" s="8" t="s">
        <v>10</v>
      </c>
      <c r="N285" s="8" t="s">
        <v>2526</v>
      </c>
      <c r="O285" s="281">
        <v>15000</v>
      </c>
      <c r="P285" s="8" t="s">
        <v>2527</v>
      </c>
      <c r="Q285" s="132"/>
      <c r="R285" s="38"/>
      <c r="S285" s="8"/>
      <c r="T285" s="8"/>
      <c r="U285" s="8"/>
      <c r="V285" s="8"/>
      <c r="W285" s="8"/>
      <c r="X285" s="8"/>
      <c r="Y285" s="8"/>
      <c r="Z285" s="8"/>
      <c r="AA285" s="8"/>
    </row>
    <row r="286" spans="1:27" ht="173.25">
      <c r="A286" s="8" t="s">
        <v>20</v>
      </c>
      <c r="B286" s="29" t="s">
        <v>195</v>
      </c>
      <c r="C286" s="8" t="s">
        <v>815</v>
      </c>
      <c r="D286" s="8" t="s">
        <v>828</v>
      </c>
      <c r="E286" s="8" t="s">
        <v>829</v>
      </c>
      <c r="F286" s="8" t="s">
        <v>2259</v>
      </c>
      <c r="G286" s="8" t="s">
        <v>62</v>
      </c>
      <c r="H286" s="8" t="s">
        <v>830</v>
      </c>
      <c r="I286" s="8" t="s">
        <v>831</v>
      </c>
      <c r="J286" s="8" t="s">
        <v>8</v>
      </c>
      <c r="K286" s="8"/>
      <c r="L286" s="283" t="s">
        <v>2273</v>
      </c>
      <c r="M286" s="8" t="s">
        <v>11</v>
      </c>
      <c r="N286" s="8" t="s">
        <v>2528</v>
      </c>
      <c r="O286" s="281">
        <v>2000</v>
      </c>
      <c r="P286" s="8" t="s">
        <v>2529</v>
      </c>
      <c r="Q286" s="132"/>
      <c r="R286" s="38"/>
      <c r="S286" s="8"/>
      <c r="T286" s="8"/>
      <c r="U286" s="8"/>
      <c r="V286" s="8"/>
      <c r="W286" s="8"/>
      <c r="X286" s="8"/>
      <c r="Y286" s="8"/>
      <c r="Z286" s="8"/>
      <c r="AA286" s="8"/>
    </row>
    <row r="287" spans="1:27" ht="110.25">
      <c r="A287" s="8" t="s">
        <v>20</v>
      </c>
      <c r="B287" s="29" t="s">
        <v>195</v>
      </c>
      <c r="C287" s="8" t="s">
        <v>815</v>
      </c>
      <c r="D287" s="8" t="s">
        <v>832</v>
      </c>
      <c r="E287" s="8" t="s">
        <v>833</v>
      </c>
      <c r="F287" s="8" t="s">
        <v>2253</v>
      </c>
      <c r="G287" s="8" t="s">
        <v>62</v>
      </c>
      <c r="H287" s="8" t="s">
        <v>834</v>
      </c>
      <c r="I287" s="9">
        <v>0.8</v>
      </c>
      <c r="J287" s="8" t="s">
        <v>8</v>
      </c>
      <c r="K287" s="8"/>
      <c r="L287" s="283" t="s">
        <v>2273</v>
      </c>
      <c r="M287" s="8"/>
      <c r="N287" s="8"/>
      <c r="O287" s="281" t="s">
        <v>2303</v>
      </c>
      <c r="P287" s="8"/>
      <c r="Q287" s="132"/>
      <c r="R287" s="38"/>
      <c r="S287" s="8"/>
      <c r="T287" s="8"/>
      <c r="U287" s="8"/>
      <c r="V287" s="8"/>
      <c r="W287" s="8"/>
      <c r="X287" s="8"/>
      <c r="Y287" s="8"/>
      <c r="Z287" s="8"/>
      <c r="AA287" s="8"/>
    </row>
    <row r="288" spans="1:27" ht="110.25">
      <c r="A288" s="8" t="s">
        <v>20</v>
      </c>
      <c r="B288" s="29" t="s">
        <v>195</v>
      </c>
      <c r="C288" s="8" t="s">
        <v>835</v>
      </c>
      <c r="D288" s="8" t="s">
        <v>836</v>
      </c>
      <c r="E288" s="8" t="s">
        <v>837</v>
      </c>
      <c r="F288" s="8" t="s">
        <v>2259</v>
      </c>
      <c r="G288" s="8" t="s">
        <v>62</v>
      </c>
      <c r="H288" s="8" t="s">
        <v>783</v>
      </c>
      <c r="I288" s="9">
        <v>0.5</v>
      </c>
      <c r="J288" s="8" t="s">
        <v>8</v>
      </c>
      <c r="K288" s="8" t="s">
        <v>2530</v>
      </c>
      <c r="L288" s="283" t="s">
        <v>2273</v>
      </c>
      <c r="M288" s="8"/>
      <c r="N288" s="8"/>
      <c r="O288" s="281"/>
      <c r="P288" s="8" t="s">
        <v>2523</v>
      </c>
      <c r="Q288" s="132"/>
      <c r="R288" s="38"/>
      <c r="S288" s="8"/>
      <c r="T288" s="8"/>
      <c r="U288" s="8"/>
      <c r="V288" s="8"/>
      <c r="W288" s="8"/>
      <c r="X288" s="8"/>
      <c r="Y288" s="8"/>
      <c r="Z288" s="8"/>
      <c r="AA288" s="8"/>
    </row>
    <row r="289" spans="1:51" ht="189">
      <c r="A289" s="8" t="s">
        <v>20</v>
      </c>
      <c r="B289" s="29" t="s">
        <v>195</v>
      </c>
      <c r="C289" s="8" t="s">
        <v>835</v>
      </c>
      <c r="D289" s="8" t="s">
        <v>838</v>
      </c>
      <c r="E289" s="8" t="s">
        <v>839</v>
      </c>
      <c r="F289" s="8" t="s">
        <v>2259</v>
      </c>
      <c r="G289" s="8" t="s">
        <v>62</v>
      </c>
      <c r="H289" s="8" t="s">
        <v>259</v>
      </c>
      <c r="I289" s="8" t="s">
        <v>210</v>
      </c>
      <c r="J289" s="8" t="s">
        <v>8</v>
      </c>
      <c r="K289" s="8" t="s">
        <v>2258</v>
      </c>
      <c r="L289" s="283" t="s">
        <v>2273</v>
      </c>
      <c r="M289" s="8" t="s">
        <v>11</v>
      </c>
      <c r="N289" s="8" t="s">
        <v>2531</v>
      </c>
      <c r="O289" s="281">
        <v>3000</v>
      </c>
      <c r="P289" s="8" t="s">
        <v>2532</v>
      </c>
      <c r="Q289" s="132"/>
      <c r="R289" s="38"/>
      <c r="S289" s="8"/>
      <c r="T289" s="8"/>
      <c r="U289" s="8"/>
      <c r="V289" s="8"/>
      <c r="W289" s="8"/>
      <c r="X289" s="8"/>
      <c r="Y289" s="8"/>
      <c r="Z289" s="8"/>
      <c r="AA289" s="8"/>
    </row>
    <row r="290" spans="1:51" ht="110.25">
      <c r="A290" s="8" t="s">
        <v>20</v>
      </c>
      <c r="B290" s="29" t="s">
        <v>195</v>
      </c>
      <c r="C290" s="8" t="s">
        <v>835</v>
      </c>
      <c r="D290" s="8" t="s">
        <v>840</v>
      </c>
      <c r="E290" s="8" t="s">
        <v>841</v>
      </c>
      <c r="F290" s="8" t="s">
        <v>2259</v>
      </c>
      <c r="G290" s="8" t="s">
        <v>62</v>
      </c>
      <c r="H290" s="8" t="s">
        <v>842</v>
      </c>
      <c r="I290" s="8" t="s">
        <v>210</v>
      </c>
      <c r="J290" s="8" t="s">
        <v>8</v>
      </c>
      <c r="K290" s="8" t="s">
        <v>2258</v>
      </c>
      <c r="L290" s="283" t="s">
        <v>2273</v>
      </c>
      <c r="M290" s="8" t="s">
        <v>11</v>
      </c>
      <c r="N290" s="8" t="s">
        <v>2258</v>
      </c>
      <c r="O290" s="281" t="s">
        <v>2303</v>
      </c>
      <c r="P290" s="8" t="s">
        <v>2523</v>
      </c>
      <c r="Q290" s="132"/>
      <c r="R290" s="38"/>
      <c r="S290" s="8"/>
      <c r="T290" s="8"/>
      <c r="U290" s="8"/>
      <c r="V290" s="8"/>
      <c r="W290" s="8"/>
      <c r="X290" s="8"/>
      <c r="Y290" s="8"/>
      <c r="Z290" s="8"/>
      <c r="AA290" s="8"/>
    </row>
    <row r="291" spans="1:51" ht="141.75">
      <c r="A291" s="8" t="s">
        <v>20</v>
      </c>
      <c r="B291" s="29" t="s">
        <v>195</v>
      </c>
      <c r="C291" s="8" t="s">
        <v>835</v>
      </c>
      <c r="D291" s="8" t="s">
        <v>843</v>
      </c>
      <c r="E291" s="8" t="s">
        <v>844</v>
      </c>
      <c r="F291" s="8" t="s">
        <v>2259</v>
      </c>
      <c r="G291" s="8" t="s">
        <v>62</v>
      </c>
      <c r="H291" s="8" t="s">
        <v>845</v>
      </c>
      <c r="I291" s="8" t="s">
        <v>846</v>
      </c>
      <c r="J291" s="8" t="s">
        <v>8</v>
      </c>
      <c r="K291" s="8" t="s">
        <v>2258</v>
      </c>
      <c r="L291" s="283" t="s">
        <v>2273</v>
      </c>
      <c r="M291" s="8" t="s">
        <v>10</v>
      </c>
      <c r="N291" s="8" t="s">
        <v>2533</v>
      </c>
      <c r="O291" s="281"/>
      <c r="P291" s="8" t="s">
        <v>2534</v>
      </c>
      <c r="Q291" s="132"/>
      <c r="R291" s="38"/>
      <c r="S291" s="8"/>
      <c r="T291" s="8"/>
      <c r="U291" s="8"/>
      <c r="V291" s="8"/>
      <c r="W291" s="8"/>
      <c r="X291" s="8"/>
      <c r="Y291" s="8"/>
      <c r="Z291" s="8"/>
      <c r="AA291" s="8"/>
    </row>
    <row r="292" spans="1:51" ht="110.25">
      <c r="A292" s="8" t="s">
        <v>20</v>
      </c>
      <c r="B292" s="29" t="s">
        <v>195</v>
      </c>
      <c r="C292" s="8" t="s">
        <v>835</v>
      </c>
      <c r="D292" s="8" t="s">
        <v>847</v>
      </c>
      <c r="E292" s="8" t="s">
        <v>848</v>
      </c>
      <c r="F292" s="8" t="s">
        <v>2259</v>
      </c>
      <c r="G292" s="8" t="s">
        <v>62</v>
      </c>
      <c r="H292" s="8" t="s">
        <v>849</v>
      </c>
      <c r="I292" s="8" t="s">
        <v>135</v>
      </c>
      <c r="J292" s="8" t="s">
        <v>8</v>
      </c>
      <c r="K292" s="8" t="s">
        <v>2535</v>
      </c>
      <c r="L292" s="283" t="s">
        <v>2273</v>
      </c>
      <c r="M292" s="8"/>
      <c r="N292" s="8"/>
      <c r="O292" s="281" t="s">
        <v>2303</v>
      </c>
      <c r="P292" s="8"/>
      <c r="Q292" s="132"/>
      <c r="R292" s="38"/>
      <c r="S292" s="8"/>
      <c r="T292" s="8"/>
      <c r="U292" s="8"/>
      <c r="V292" s="8"/>
      <c r="W292" s="8"/>
      <c r="X292" s="8"/>
      <c r="Y292" s="8"/>
      <c r="Z292" s="8"/>
      <c r="AA292" s="8"/>
    </row>
    <row r="293" spans="1:51" ht="126">
      <c r="A293" s="8" t="s">
        <v>20</v>
      </c>
      <c r="B293" s="29" t="s">
        <v>274</v>
      </c>
      <c r="C293" s="8" t="s">
        <v>850</v>
      </c>
      <c r="D293" s="8" t="s">
        <v>851</v>
      </c>
      <c r="E293" s="8" t="s">
        <v>852</v>
      </c>
      <c r="F293" s="8" t="s">
        <v>2259</v>
      </c>
      <c r="G293" s="8" t="s">
        <v>62</v>
      </c>
      <c r="H293" s="8" t="s">
        <v>853</v>
      </c>
      <c r="I293" s="8" t="s">
        <v>697</v>
      </c>
      <c r="J293" s="8" t="s">
        <v>8</v>
      </c>
      <c r="K293" s="8" t="s">
        <v>2536</v>
      </c>
      <c r="L293" s="283" t="s">
        <v>2273</v>
      </c>
      <c r="M293" s="8"/>
      <c r="N293" s="8"/>
      <c r="O293" s="281" t="s">
        <v>2303</v>
      </c>
      <c r="P293" s="8"/>
      <c r="Q293" s="132"/>
      <c r="R293" s="38"/>
      <c r="S293" s="8"/>
      <c r="T293" s="8"/>
      <c r="U293" s="8"/>
      <c r="V293" s="8"/>
      <c r="W293" s="8"/>
      <c r="X293" s="8"/>
      <c r="Y293" s="8"/>
      <c r="Z293" s="8"/>
      <c r="AA293" s="8"/>
    </row>
    <row r="294" spans="1:51" ht="110.25">
      <c r="A294" s="8" t="s">
        <v>20</v>
      </c>
      <c r="B294" s="29" t="s">
        <v>274</v>
      </c>
      <c r="C294" s="8" t="s">
        <v>850</v>
      </c>
      <c r="D294" s="8" t="s">
        <v>854</v>
      </c>
      <c r="E294" s="8" t="s">
        <v>855</v>
      </c>
      <c r="F294" s="8" t="s">
        <v>2259</v>
      </c>
      <c r="G294" s="8" t="s">
        <v>62</v>
      </c>
      <c r="H294" s="8" t="s">
        <v>856</v>
      </c>
      <c r="I294" s="8" t="s">
        <v>701</v>
      </c>
      <c r="J294" s="8" t="s">
        <v>8</v>
      </c>
      <c r="K294" s="8" t="s">
        <v>2258</v>
      </c>
      <c r="L294" s="283" t="s">
        <v>2265</v>
      </c>
      <c r="M294" s="8"/>
      <c r="N294" s="8"/>
      <c r="O294" s="281">
        <v>15000</v>
      </c>
      <c r="P294" s="8" t="s">
        <v>2537</v>
      </c>
      <c r="Q294" s="132"/>
      <c r="R294" s="38"/>
      <c r="S294" s="8"/>
      <c r="T294" s="8"/>
      <c r="U294" s="8"/>
      <c r="V294" s="8"/>
      <c r="W294" s="8"/>
      <c r="X294" s="8"/>
      <c r="Y294" s="8"/>
      <c r="Z294" s="8"/>
      <c r="AA294" s="8"/>
    </row>
    <row r="295" spans="1:51" ht="110.25">
      <c r="A295" s="8" t="s">
        <v>20</v>
      </c>
      <c r="B295" s="29" t="s">
        <v>274</v>
      </c>
      <c r="C295" s="8" t="s">
        <v>850</v>
      </c>
      <c r="D295" s="8" t="s">
        <v>857</v>
      </c>
      <c r="E295" s="8" t="s">
        <v>858</v>
      </c>
      <c r="F295" s="8" t="s">
        <v>2259</v>
      </c>
      <c r="G295" s="8" t="s">
        <v>62</v>
      </c>
      <c r="H295" s="8" t="s">
        <v>859</v>
      </c>
      <c r="I295" s="9">
        <v>0.5</v>
      </c>
      <c r="J295" s="8" t="s">
        <v>8</v>
      </c>
      <c r="K295" s="8" t="s">
        <v>2536</v>
      </c>
      <c r="L295" s="283"/>
      <c r="M295" s="8"/>
      <c r="N295" s="8"/>
      <c r="O295" s="281" t="s">
        <v>2303</v>
      </c>
      <c r="P295" s="8"/>
      <c r="Q295" s="132"/>
      <c r="R295" s="38"/>
      <c r="S295" s="8"/>
      <c r="T295" s="8"/>
      <c r="U295" s="8"/>
      <c r="V295" s="8"/>
      <c r="W295" s="8"/>
      <c r="X295" s="8"/>
      <c r="Y295" s="8"/>
      <c r="Z295" s="8"/>
      <c r="AA295" s="8"/>
    </row>
    <row r="296" spans="1:51" ht="110.25">
      <c r="A296" s="8" t="s">
        <v>20</v>
      </c>
      <c r="B296" s="29" t="s">
        <v>274</v>
      </c>
      <c r="C296" s="8" t="s">
        <v>850</v>
      </c>
      <c r="D296" s="8" t="s">
        <v>860</v>
      </c>
      <c r="E296" s="8" t="s">
        <v>861</v>
      </c>
      <c r="F296" s="8" t="s">
        <v>2259</v>
      </c>
      <c r="G296" s="8" t="s">
        <v>62</v>
      </c>
      <c r="H296" s="8" t="s">
        <v>862</v>
      </c>
      <c r="I296" s="9">
        <v>0.5</v>
      </c>
      <c r="J296" s="8" t="s">
        <v>8</v>
      </c>
      <c r="K296" s="8" t="s">
        <v>2538</v>
      </c>
      <c r="L296" s="283" t="s">
        <v>2265</v>
      </c>
      <c r="M296" s="8" t="s">
        <v>9</v>
      </c>
      <c r="N296" s="8" t="s">
        <v>2539</v>
      </c>
      <c r="O296" s="281">
        <v>2000</v>
      </c>
      <c r="P296" s="8" t="s">
        <v>2537</v>
      </c>
      <c r="Q296" s="132"/>
      <c r="R296" s="38"/>
      <c r="S296" s="8"/>
      <c r="T296" s="8"/>
      <c r="U296" s="8"/>
      <c r="V296" s="8"/>
      <c r="W296" s="8"/>
      <c r="X296" s="8"/>
      <c r="Y296" s="8"/>
      <c r="Z296" s="8"/>
      <c r="AA296" s="8"/>
    </row>
    <row r="297" spans="1:51" ht="110.25">
      <c r="A297" s="8" t="s">
        <v>20</v>
      </c>
      <c r="B297" s="29" t="s">
        <v>274</v>
      </c>
      <c r="C297" s="8" t="s">
        <v>850</v>
      </c>
      <c r="D297" s="8" t="s">
        <v>863</v>
      </c>
      <c r="E297" s="8" t="s">
        <v>864</v>
      </c>
      <c r="F297" s="8" t="s">
        <v>2259</v>
      </c>
      <c r="G297" s="8" t="s">
        <v>62</v>
      </c>
      <c r="H297" s="8" t="s">
        <v>865</v>
      </c>
      <c r="I297" s="9">
        <v>0.5</v>
      </c>
      <c r="J297" s="8" t="s">
        <v>8</v>
      </c>
      <c r="K297" s="8" t="s">
        <v>2258</v>
      </c>
      <c r="L297" s="283" t="s">
        <v>2387</v>
      </c>
      <c r="M297" s="8" t="s">
        <v>10</v>
      </c>
      <c r="N297" s="8" t="s">
        <v>2540</v>
      </c>
      <c r="O297" s="281"/>
      <c r="P297" s="8" t="s">
        <v>2258</v>
      </c>
      <c r="Q297" s="132"/>
      <c r="R297" s="38"/>
      <c r="S297" s="8"/>
      <c r="T297" s="8"/>
      <c r="U297" s="8"/>
      <c r="V297" s="8"/>
      <c r="W297" s="8"/>
      <c r="X297" s="8"/>
      <c r="Y297" s="8"/>
      <c r="Z297" s="8"/>
      <c r="AA297" s="8"/>
    </row>
    <row r="298" spans="1:51" s="5" customFormat="1" ht="78.75" hidden="1">
      <c r="A298" s="20" t="s">
        <v>20</v>
      </c>
      <c r="B298" s="30" t="s">
        <v>274</v>
      </c>
      <c r="C298" s="19" t="s">
        <v>866</v>
      </c>
      <c r="D298" s="19" t="s">
        <v>582</v>
      </c>
      <c r="E298" s="19" t="s">
        <v>582</v>
      </c>
      <c r="F298" s="19" t="s">
        <v>582</v>
      </c>
      <c r="G298" s="19" t="s">
        <v>582</v>
      </c>
      <c r="H298" s="19" t="s">
        <v>582</v>
      </c>
      <c r="I298" s="19" t="s">
        <v>582</v>
      </c>
      <c r="J298" s="19" t="s">
        <v>582</v>
      </c>
      <c r="K298" s="19" t="s">
        <v>582</v>
      </c>
      <c r="L298" s="19" t="s">
        <v>582</v>
      </c>
      <c r="M298" s="19" t="s">
        <v>582</v>
      </c>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t="s">
        <v>582</v>
      </c>
      <c r="E299" s="19" t="s">
        <v>582</v>
      </c>
      <c r="F299" s="19" t="s">
        <v>582</v>
      </c>
      <c r="G299" s="19" t="s">
        <v>582</v>
      </c>
      <c r="H299" s="19" t="s">
        <v>582</v>
      </c>
      <c r="I299" s="19" t="s">
        <v>582</v>
      </c>
      <c r="J299" s="19" t="s">
        <v>582</v>
      </c>
      <c r="K299" s="19" t="s">
        <v>582</v>
      </c>
      <c r="L299" s="19" t="s">
        <v>582</v>
      </c>
      <c r="M299" s="19" t="s">
        <v>582</v>
      </c>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157.5">
      <c r="A300" s="8" t="s">
        <v>20</v>
      </c>
      <c r="B300" s="29" t="s">
        <v>274</v>
      </c>
      <c r="C300" s="8" t="s">
        <v>868</v>
      </c>
      <c r="D300" s="8" t="s">
        <v>869</v>
      </c>
      <c r="E300" s="8" t="s">
        <v>870</v>
      </c>
      <c r="F300" s="8" t="s">
        <v>2259</v>
      </c>
      <c r="G300" s="8" t="s">
        <v>62</v>
      </c>
      <c r="H300" s="8" t="s">
        <v>871</v>
      </c>
      <c r="I300" s="8" t="s">
        <v>210</v>
      </c>
      <c r="J300" s="8" t="s">
        <v>8</v>
      </c>
      <c r="K300" s="8" t="s">
        <v>2541</v>
      </c>
      <c r="L300" s="283" t="s">
        <v>2273</v>
      </c>
      <c r="M300" s="8"/>
      <c r="N300" s="8"/>
      <c r="O300" s="281"/>
      <c r="P300" s="8" t="s">
        <v>2542</v>
      </c>
      <c r="Q300" s="132"/>
      <c r="R300" s="38"/>
      <c r="S300" s="8"/>
      <c r="T300" s="8"/>
      <c r="U300" s="8"/>
      <c r="V300" s="8"/>
      <c r="W300" s="8"/>
      <c r="X300" s="8"/>
      <c r="Y300" s="8"/>
      <c r="Z300" s="8"/>
      <c r="AA300" s="8"/>
    </row>
    <row r="301" spans="1:51" ht="110.25">
      <c r="A301" s="8" t="s">
        <v>20</v>
      </c>
      <c r="B301" s="29" t="s">
        <v>274</v>
      </c>
      <c r="C301" s="8" t="s">
        <v>868</v>
      </c>
      <c r="D301" s="8" t="s">
        <v>872</v>
      </c>
      <c r="E301" s="8" t="s">
        <v>873</v>
      </c>
      <c r="F301" s="8" t="s">
        <v>2259</v>
      </c>
      <c r="G301" s="8" t="s">
        <v>62</v>
      </c>
      <c r="H301" s="8" t="s">
        <v>874</v>
      </c>
      <c r="I301" s="8" t="s">
        <v>875</v>
      </c>
      <c r="J301" s="8" t="s">
        <v>8</v>
      </c>
      <c r="K301" s="8" t="s">
        <v>2543</v>
      </c>
      <c r="L301" s="283" t="s">
        <v>2273</v>
      </c>
      <c r="M301" s="8" t="s">
        <v>10</v>
      </c>
      <c r="N301" s="8" t="s">
        <v>2544</v>
      </c>
      <c r="O301" s="281"/>
      <c r="P301" s="8" t="s">
        <v>2545</v>
      </c>
      <c r="Q301" s="132"/>
      <c r="R301" s="38"/>
      <c r="S301" s="8"/>
      <c r="T301" s="8"/>
      <c r="U301" s="8"/>
      <c r="V301" s="8"/>
      <c r="W301" s="8"/>
      <c r="X301" s="8"/>
      <c r="Y301" s="8"/>
      <c r="Z301" s="8"/>
      <c r="AA301" s="8"/>
    </row>
    <row r="302" spans="1:51" ht="63">
      <c r="A302" s="8" t="s">
        <v>20</v>
      </c>
      <c r="B302" s="29" t="s">
        <v>274</v>
      </c>
      <c r="C302" s="8" t="s">
        <v>876</v>
      </c>
      <c r="D302" s="8" t="s">
        <v>877</v>
      </c>
      <c r="E302" s="8" t="s">
        <v>878</v>
      </c>
      <c r="F302" s="20"/>
      <c r="G302" s="20" t="s">
        <v>62</v>
      </c>
      <c r="H302" s="20"/>
      <c r="I302" s="22">
        <v>1</v>
      </c>
      <c r="J302" s="20"/>
      <c r="K302" s="20"/>
      <c r="L302" s="278"/>
      <c r="M302" s="20"/>
      <c r="N302" s="20"/>
      <c r="O302" s="279"/>
      <c r="P302" s="20"/>
      <c r="Q302" s="132"/>
      <c r="R302" s="39"/>
      <c r="S302" s="20"/>
      <c r="T302" s="20"/>
      <c r="U302" s="20"/>
      <c r="V302" s="20"/>
      <c r="W302" s="20"/>
      <c r="X302" s="20"/>
      <c r="Y302" s="20"/>
      <c r="Z302" s="20"/>
      <c r="AA302" s="8"/>
    </row>
    <row r="303" spans="1:51" ht="141.75">
      <c r="A303" s="8" t="s">
        <v>20</v>
      </c>
      <c r="B303" s="29" t="s">
        <v>587</v>
      </c>
      <c r="C303" s="8" t="s">
        <v>876</v>
      </c>
      <c r="D303" s="8" t="s">
        <v>879</v>
      </c>
      <c r="E303" s="69" t="s">
        <v>880</v>
      </c>
      <c r="F303" s="8" t="s">
        <v>2259</v>
      </c>
      <c r="G303" s="8" t="s">
        <v>62</v>
      </c>
      <c r="H303" s="8" t="s">
        <v>591</v>
      </c>
      <c r="I303" s="9">
        <v>1</v>
      </c>
      <c r="J303" s="8" t="s">
        <v>8</v>
      </c>
      <c r="K303" s="8"/>
      <c r="L303" s="283" t="s">
        <v>2273</v>
      </c>
      <c r="M303" s="8" t="s">
        <v>10</v>
      </c>
      <c r="N303" s="8" t="s">
        <v>2546</v>
      </c>
      <c r="O303" s="281"/>
      <c r="P303" s="8" t="s">
        <v>2547</v>
      </c>
      <c r="Q303" s="132"/>
      <c r="R303" s="38"/>
      <c r="S303" s="8"/>
      <c r="T303" s="8"/>
      <c r="U303" s="8"/>
      <c r="V303" s="8"/>
      <c r="W303" s="8"/>
      <c r="X303" s="8"/>
      <c r="Y303" s="8"/>
      <c r="Z303" s="8"/>
      <c r="AA303" s="8"/>
    </row>
    <row r="304" spans="1:51" ht="110.25">
      <c r="A304" s="8" t="s">
        <v>20</v>
      </c>
      <c r="B304" s="29" t="s">
        <v>587</v>
      </c>
      <c r="C304" s="8" t="s">
        <v>876</v>
      </c>
      <c r="D304" s="8" t="s">
        <v>881</v>
      </c>
      <c r="E304" s="69" t="s">
        <v>882</v>
      </c>
      <c r="F304" s="8" t="s">
        <v>2259</v>
      </c>
      <c r="G304" s="8" t="s">
        <v>62</v>
      </c>
      <c r="H304" s="8" t="s">
        <v>591</v>
      </c>
      <c r="I304" s="9">
        <v>2</v>
      </c>
      <c r="J304" s="8" t="s">
        <v>8</v>
      </c>
      <c r="K304" s="8"/>
      <c r="L304" s="283" t="s">
        <v>2273</v>
      </c>
      <c r="M304" s="8" t="s">
        <v>10</v>
      </c>
      <c r="N304" s="8" t="s">
        <v>2258</v>
      </c>
      <c r="O304" s="281" t="s">
        <v>2303</v>
      </c>
      <c r="P304" s="8" t="s">
        <v>2258</v>
      </c>
      <c r="Q304" s="132"/>
      <c r="R304" s="38"/>
      <c r="S304" s="8"/>
      <c r="T304" s="8"/>
      <c r="U304" s="8"/>
      <c r="V304" s="8"/>
      <c r="W304" s="8"/>
      <c r="X304" s="8"/>
      <c r="Y304" s="8"/>
      <c r="Z304" s="8"/>
      <c r="AA304" s="8"/>
    </row>
    <row r="305" spans="1:27" ht="110.25">
      <c r="A305" s="8" t="s">
        <v>20</v>
      </c>
      <c r="B305" s="29" t="s">
        <v>587</v>
      </c>
      <c r="C305" s="8" t="s">
        <v>876</v>
      </c>
      <c r="D305" s="8" t="s">
        <v>883</v>
      </c>
      <c r="E305" s="69" t="s">
        <v>884</v>
      </c>
      <c r="F305" s="8" t="s">
        <v>2259</v>
      </c>
      <c r="G305" s="8" t="s">
        <v>62</v>
      </c>
      <c r="H305" s="8" t="s">
        <v>591</v>
      </c>
      <c r="I305" s="9">
        <v>3</v>
      </c>
      <c r="J305" s="8" t="s">
        <v>8</v>
      </c>
      <c r="K305" s="8" t="s">
        <v>2548</v>
      </c>
      <c r="L305" s="283" t="s">
        <v>2273</v>
      </c>
      <c r="M305" s="8" t="s">
        <v>10</v>
      </c>
      <c r="N305" s="8" t="s">
        <v>2258</v>
      </c>
      <c r="O305" s="281" t="s">
        <v>2303</v>
      </c>
      <c r="P305" s="8"/>
      <c r="Q305" s="132"/>
      <c r="R305" s="38"/>
      <c r="S305" s="8"/>
      <c r="T305" s="8"/>
      <c r="U305" s="8"/>
      <c r="V305" s="8"/>
      <c r="W305" s="8"/>
      <c r="X305" s="8"/>
      <c r="Y305" s="8"/>
      <c r="Z305" s="8"/>
      <c r="AA305" s="8"/>
    </row>
    <row r="306" spans="1:27" ht="110.25">
      <c r="A306" s="8" t="s">
        <v>20</v>
      </c>
      <c r="B306" s="29" t="s">
        <v>587</v>
      </c>
      <c r="C306" s="8" t="s">
        <v>876</v>
      </c>
      <c r="D306" s="8" t="s">
        <v>885</v>
      </c>
      <c r="E306" s="69" t="s">
        <v>886</v>
      </c>
      <c r="F306" s="8" t="s">
        <v>2259</v>
      </c>
      <c r="G306" s="8" t="s">
        <v>62</v>
      </c>
      <c r="H306" s="8" t="s">
        <v>591</v>
      </c>
      <c r="I306" s="9">
        <v>4</v>
      </c>
      <c r="J306" s="8" t="s">
        <v>8</v>
      </c>
      <c r="K306" s="8" t="s">
        <v>2258</v>
      </c>
      <c r="L306" s="283" t="s">
        <v>2273</v>
      </c>
      <c r="M306" s="8" t="s">
        <v>9</v>
      </c>
      <c r="N306" s="8" t="s">
        <v>2258</v>
      </c>
      <c r="O306" s="281" t="s">
        <v>2303</v>
      </c>
      <c r="P306" s="8"/>
      <c r="Q306" s="132"/>
      <c r="R306" s="38"/>
      <c r="S306" s="8"/>
      <c r="T306" s="8"/>
      <c r="U306" s="8"/>
      <c r="V306" s="8"/>
      <c r="W306" s="8"/>
      <c r="X306" s="8"/>
      <c r="Y306" s="8"/>
      <c r="Z306" s="8"/>
      <c r="AA306" s="8"/>
    </row>
    <row r="307" spans="1:27" ht="110.25">
      <c r="A307" s="8" t="s">
        <v>20</v>
      </c>
      <c r="B307" s="29" t="s">
        <v>587</v>
      </c>
      <c r="C307" s="8" t="s">
        <v>876</v>
      </c>
      <c r="D307" s="8" t="s">
        <v>887</v>
      </c>
      <c r="E307" s="69" t="s">
        <v>888</v>
      </c>
      <c r="F307" s="8" t="s">
        <v>2259</v>
      </c>
      <c r="G307" s="8" t="s">
        <v>62</v>
      </c>
      <c r="H307" s="8" t="s">
        <v>591</v>
      </c>
      <c r="I307" s="9">
        <v>5</v>
      </c>
      <c r="J307" s="8" t="s">
        <v>8</v>
      </c>
      <c r="K307" s="8" t="s">
        <v>2258</v>
      </c>
      <c r="L307" s="283" t="s">
        <v>2273</v>
      </c>
      <c r="M307" s="8" t="s">
        <v>10</v>
      </c>
      <c r="N307" s="8" t="s">
        <v>2258</v>
      </c>
      <c r="O307" s="281" t="s">
        <v>2549</v>
      </c>
      <c r="P307" s="8"/>
      <c r="Q307" s="132"/>
      <c r="R307" s="38"/>
      <c r="S307" s="8"/>
      <c r="T307" s="8"/>
      <c r="U307" s="8"/>
      <c r="V307" s="8"/>
      <c r="W307" s="8"/>
      <c r="X307" s="8"/>
      <c r="Y307" s="8"/>
      <c r="Z307" s="8"/>
      <c r="AA307" s="8"/>
    </row>
    <row r="308" spans="1:27" ht="110.25">
      <c r="A308" s="8" t="s">
        <v>20</v>
      </c>
      <c r="B308" s="29" t="s">
        <v>587</v>
      </c>
      <c r="C308" s="8" t="s">
        <v>876</v>
      </c>
      <c r="D308" s="8" t="s">
        <v>889</v>
      </c>
      <c r="E308" s="8" t="s">
        <v>890</v>
      </c>
      <c r="F308" s="8" t="s">
        <v>2259</v>
      </c>
      <c r="G308" s="8" t="s">
        <v>58</v>
      </c>
      <c r="H308" s="8" t="s">
        <v>891</v>
      </c>
      <c r="I308" s="9">
        <v>0.5</v>
      </c>
      <c r="J308" s="8" t="s">
        <v>8</v>
      </c>
      <c r="K308" s="8"/>
      <c r="L308" s="283" t="s">
        <v>2355</v>
      </c>
      <c r="M308" s="8"/>
      <c r="N308" s="8" t="s">
        <v>2258</v>
      </c>
      <c r="O308" s="281" t="s">
        <v>2303</v>
      </c>
      <c r="P308" s="8" t="s">
        <v>2547</v>
      </c>
      <c r="Q308" s="132"/>
      <c r="R308" s="38"/>
      <c r="S308" s="8"/>
      <c r="T308" s="8"/>
      <c r="U308" s="8"/>
      <c r="V308" s="8"/>
      <c r="W308" s="8"/>
      <c r="X308" s="8"/>
      <c r="Y308" s="8"/>
      <c r="Z308" s="8"/>
      <c r="AA308" s="8"/>
    </row>
    <row r="309" spans="1:27" ht="110.25">
      <c r="A309" s="8" t="s">
        <v>20</v>
      </c>
      <c r="B309" s="29" t="s">
        <v>587</v>
      </c>
      <c r="C309" s="8" t="s">
        <v>876</v>
      </c>
      <c r="D309" s="8" t="s">
        <v>892</v>
      </c>
      <c r="E309" s="8" t="s">
        <v>893</v>
      </c>
      <c r="F309" s="8" t="s">
        <v>2259</v>
      </c>
      <c r="G309" s="8" t="s">
        <v>62</v>
      </c>
      <c r="H309" s="8" t="s">
        <v>894</v>
      </c>
      <c r="I309" s="9">
        <v>1</v>
      </c>
      <c r="J309" s="8" t="s">
        <v>8</v>
      </c>
      <c r="K309" s="8"/>
      <c r="L309" s="283" t="s">
        <v>2273</v>
      </c>
      <c r="M309" s="8"/>
      <c r="N309" s="8" t="s">
        <v>2258</v>
      </c>
      <c r="O309" s="281" t="s">
        <v>2303</v>
      </c>
      <c r="P309" s="8"/>
      <c r="Q309" s="132"/>
      <c r="R309" s="38"/>
      <c r="S309" s="8"/>
      <c r="T309" s="8"/>
      <c r="U309" s="8"/>
      <c r="V309" s="8"/>
      <c r="W309" s="8"/>
      <c r="X309" s="8"/>
      <c r="Y309" s="8"/>
      <c r="Z309" s="8"/>
      <c r="AA309" s="8"/>
    </row>
    <row r="310" spans="1:27" ht="110.25">
      <c r="A310" s="8" t="s">
        <v>20</v>
      </c>
      <c r="B310" s="29" t="s">
        <v>587</v>
      </c>
      <c r="C310" s="8" t="s">
        <v>876</v>
      </c>
      <c r="D310" s="8" t="s">
        <v>895</v>
      </c>
      <c r="E310" s="8" t="s">
        <v>896</v>
      </c>
      <c r="F310" s="8" t="s">
        <v>2259</v>
      </c>
      <c r="G310" s="8" t="s">
        <v>62</v>
      </c>
      <c r="H310" s="8" t="s">
        <v>894</v>
      </c>
      <c r="I310" s="9">
        <v>1</v>
      </c>
      <c r="J310" s="8" t="s">
        <v>8</v>
      </c>
      <c r="K310" s="8" t="s">
        <v>2550</v>
      </c>
      <c r="L310" s="283" t="s">
        <v>2273</v>
      </c>
      <c r="M310" s="8"/>
      <c r="N310" s="8" t="s">
        <v>2258</v>
      </c>
      <c r="O310" s="281" t="s">
        <v>2303</v>
      </c>
      <c r="P310" s="8"/>
      <c r="Q310" s="132"/>
      <c r="R310" s="38"/>
      <c r="S310" s="8"/>
      <c r="T310" s="8"/>
      <c r="U310" s="8"/>
      <c r="V310" s="8"/>
      <c r="W310" s="8"/>
      <c r="X310" s="8"/>
      <c r="Y310" s="8"/>
      <c r="Z310" s="8"/>
      <c r="AA310" s="8"/>
    </row>
    <row r="311" spans="1:27" ht="110.25">
      <c r="A311" s="8" t="s">
        <v>20</v>
      </c>
      <c r="B311" s="29" t="s">
        <v>587</v>
      </c>
      <c r="C311" s="8" t="s">
        <v>897</v>
      </c>
      <c r="D311" s="8" t="s">
        <v>898</v>
      </c>
      <c r="E311" s="8" t="s">
        <v>899</v>
      </c>
      <c r="F311" s="8" t="s">
        <v>2259</v>
      </c>
      <c r="G311" s="8" t="s">
        <v>62</v>
      </c>
      <c r="H311" s="8" t="s">
        <v>735</v>
      </c>
      <c r="I311" s="9">
        <v>1</v>
      </c>
      <c r="J311" s="8" t="s">
        <v>8</v>
      </c>
      <c r="K311" s="8" t="s">
        <v>2551</v>
      </c>
      <c r="L311" s="283" t="s">
        <v>2273</v>
      </c>
      <c r="M311" s="8"/>
      <c r="N311" s="8"/>
      <c r="O311" s="281" t="s">
        <v>2303</v>
      </c>
      <c r="P311" s="8"/>
      <c r="Q311" s="132"/>
      <c r="R311" s="38"/>
      <c r="S311" s="8"/>
      <c r="T311" s="8"/>
      <c r="U311" s="8"/>
      <c r="V311" s="8"/>
      <c r="W311" s="8"/>
      <c r="X311" s="8"/>
      <c r="Y311" s="8"/>
      <c r="Z311" s="8"/>
      <c r="AA311" s="8"/>
    </row>
    <row r="312" spans="1:27" ht="110.25">
      <c r="A312" s="8" t="s">
        <v>20</v>
      </c>
      <c r="B312" s="29" t="s">
        <v>587</v>
      </c>
      <c r="C312" s="8" t="s">
        <v>897</v>
      </c>
      <c r="D312" s="8" t="s">
        <v>900</v>
      </c>
      <c r="E312" s="8" t="s">
        <v>899</v>
      </c>
      <c r="F312" s="8" t="s">
        <v>2259</v>
      </c>
      <c r="G312" s="8" t="s">
        <v>62</v>
      </c>
      <c r="H312" s="8" t="s">
        <v>428</v>
      </c>
      <c r="I312" s="9">
        <v>1</v>
      </c>
      <c r="J312" s="8" t="s">
        <v>8</v>
      </c>
      <c r="K312" s="8" t="s">
        <v>2258</v>
      </c>
      <c r="L312" s="283" t="s">
        <v>2273</v>
      </c>
      <c r="M312" s="8"/>
      <c r="N312" s="8"/>
      <c r="O312" s="281" t="s">
        <v>2303</v>
      </c>
      <c r="P312" s="8"/>
      <c r="Q312" s="132"/>
      <c r="R312" s="38"/>
      <c r="S312" s="8"/>
      <c r="T312" s="8"/>
      <c r="U312" s="8"/>
      <c r="V312" s="8"/>
      <c r="W312" s="8"/>
      <c r="X312" s="8"/>
      <c r="Y312" s="8"/>
      <c r="Z312" s="8"/>
      <c r="AA312" s="8"/>
    </row>
    <row r="313" spans="1:27" ht="110.25">
      <c r="A313" s="8" t="s">
        <v>20</v>
      </c>
      <c r="B313" s="29" t="s">
        <v>587</v>
      </c>
      <c r="C313" s="8" t="s">
        <v>901</v>
      </c>
      <c r="D313" s="8" t="s">
        <v>902</v>
      </c>
      <c r="E313" s="8" t="s">
        <v>903</v>
      </c>
      <c r="F313" s="8" t="s">
        <v>2259</v>
      </c>
      <c r="G313" s="8" t="s">
        <v>62</v>
      </c>
      <c r="H313" s="8" t="s">
        <v>623</v>
      </c>
      <c r="I313" s="9">
        <v>1</v>
      </c>
      <c r="J313" s="8" t="s">
        <v>8</v>
      </c>
      <c r="K313" s="8" t="s">
        <v>2552</v>
      </c>
      <c r="L313" s="283" t="s">
        <v>2273</v>
      </c>
      <c r="M313" s="8"/>
      <c r="N313" s="8"/>
      <c r="O313" s="281" t="s">
        <v>2303</v>
      </c>
      <c r="P313" s="8" t="s">
        <v>2553</v>
      </c>
      <c r="Q313" s="132"/>
      <c r="R313" s="38"/>
      <c r="S313" s="8"/>
      <c r="T313" s="8"/>
      <c r="U313" s="8"/>
      <c r="V313" s="8"/>
      <c r="W313" s="8"/>
      <c r="X313" s="8"/>
      <c r="Y313" s="8"/>
      <c r="Z313" s="8"/>
      <c r="AA313" s="8"/>
    </row>
    <row r="314" spans="1:27" ht="110.25">
      <c r="A314" s="8" t="s">
        <v>20</v>
      </c>
      <c r="B314" s="29" t="s">
        <v>587</v>
      </c>
      <c r="C314" s="8" t="s">
        <v>901</v>
      </c>
      <c r="D314" s="8" t="s">
        <v>904</v>
      </c>
      <c r="E314" s="8" t="s">
        <v>905</v>
      </c>
      <c r="F314" s="8" t="s">
        <v>2259</v>
      </c>
      <c r="G314" s="8" t="s">
        <v>62</v>
      </c>
      <c r="H314" s="8" t="s">
        <v>742</v>
      </c>
      <c r="I314" s="9">
        <v>0.5</v>
      </c>
      <c r="J314" s="8" t="s">
        <v>8</v>
      </c>
      <c r="K314" s="8" t="s">
        <v>2554</v>
      </c>
      <c r="L314" s="283" t="s">
        <v>2273</v>
      </c>
      <c r="M314" s="8" t="s">
        <v>10</v>
      </c>
      <c r="N314" s="8"/>
      <c r="O314" s="281" t="s">
        <v>2303</v>
      </c>
      <c r="P314" s="8"/>
      <c r="Q314" s="132"/>
      <c r="R314" s="38"/>
      <c r="S314" s="8"/>
      <c r="T314" s="8"/>
      <c r="U314" s="8"/>
      <c r="V314" s="8"/>
      <c r="W314" s="8"/>
      <c r="X314" s="8"/>
      <c r="Y314" s="8"/>
      <c r="Z314" s="8"/>
      <c r="AA314" s="8"/>
    </row>
    <row r="315" spans="1:27" ht="110.25">
      <c r="A315" s="8" t="s">
        <v>20</v>
      </c>
      <c r="B315" s="29" t="s">
        <v>587</v>
      </c>
      <c r="C315" s="8" t="s">
        <v>901</v>
      </c>
      <c r="D315" s="8" t="s">
        <v>906</v>
      </c>
      <c r="E315" s="8" t="s">
        <v>907</v>
      </c>
      <c r="F315" s="8" t="s">
        <v>2259</v>
      </c>
      <c r="G315" s="8" t="s">
        <v>58</v>
      </c>
      <c r="H315" s="8" t="s">
        <v>745</v>
      </c>
      <c r="I315" s="9">
        <v>0.5</v>
      </c>
      <c r="J315" s="8" t="s">
        <v>8</v>
      </c>
      <c r="K315" s="8" t="s">
        <v>2258</v>
      </c>
      <c r="L315" s="283" t="s">
        <v>2273</v>
      </c>
      <c r="M315" s="8" t="s">
        <v>10</v>
      </c>
      <c r="N315" s="8"/>
      <c r="O315" s="281" t="s">
        <v>2303</v>
      </c>
      <c r="P315" s="8"/>
      <c r="Q315" s="132"/>
      <c r="R315" s="38"/>
      <c r="S315" s="8"/>
      <c r="T315" s="8"/>
      <c r="U315" s="8"/>
      <c r="V315" s="8"/>
      <c r="W315" s="8"/>
      <c r="X315" s="8"/>
      <c r="Y315" s="8"/>
      <c r="Z315" s="8"/>
      <c r="AA315" s="8"/>
    </row>
    <row r="316" spans="1:27" ht="110.25">
      <c r="A316" s="8" t="s">
        <v>20</v>
      </c>
      <c r="B316" s="29" t="s">
        <v>587</v>
      </c>
      <c r="C316" s="8" t="s">
        <v>908</v>
      </c>
      <c r="D316" s="8" t="s">
        <v>909</v>
      </c>
      <c r="E316" s="8" t="s">
        <v>910</v>
      </c>
      <c r="F316" s="8" t="s">
        <v>2259</v>
      </c>
      <c r="G316" s="8" t="s">
        <v>62</v>
      </c>
      <c r="H316" s="8" t="s">
        <v>911</v>
      </c>
      <c r="I316" s="9">
        <v>0.5</v>
      </c>
      <c r="J316" s="8" t="s">
        <v>8</v>
      </c>
      <c r="K316" s="8" t="s">
        <v>2258</v>
      </c>
      <c r="L316" s="283" t="s">
        <v>2273</v>
      </c>
      <c r="M316" s="8"/>
      <c r="N316" s="8"/>
      <c r="O316" s="281" t="s">
        <v>2303</v>
      </c>
      <c r="P316" s="8"/>
      <c r="Q316" s="132"/>
      <c r="R316" s="38"/>
      <c r="S316" s="8"/>
      <c r="T316" s="8"/>
      <c r="U316" s="8"/>
      <c r="V316" s="8"/>
      <c r="W316" s="8"/>
      <c r="X316" s="8"/>
      <c r="Y316" s="8"/>
      <c r="Z316" s="8"/>
      <c r="AA316" s="8"/>
    </row>
    <row r="317" spans="1:27" ht="110.25">
      <c r="A317" s="8" t="s">
        <v>20</v>
      </c>
      <c r="B317" s="29" t="s">
        <v>587</v>
      </c>
      <c r="C317" s="8" t="s">
        <v>908</v>
      </c>
      <c r="D317" s="8" t="s">
        <v>912</v>
      </c>
      <c r="E317" s="8" t="s">
        <v>913</v>
      </c>
      <c r="F317" s="8" t="s">
        <v>2259</v>
      </c>
      <c r="G317" s="8" t="s">
        <v>62</v>
      </c>
      <c r="H317" s="8" t="s">
        <v>859</v>
      </c>
      <c r="I317" s="9">
        <v>0.5</v>
      </c>
      <c r="J317" s="8" t="s">
        <v>8</v>
      </c>
      <c r="K317" s="8" t="s">
        <v>2258</v>
      </c>
      <c r="L317" s="283" t="s">
        <v>2273</v>
      </c>
      <c r="M317" s="8"/>
      <c r="N317" s="8"/>
      <c r="O317" s="281" t="s">
        <v>2303</v>
      </c>
      <c r="P317" s="8"/>
      <c r="Q317" s="132"/>
      <c r="R317" s="38"/>
      <c r="S317" s="8"/>
      <c r="T317" s="8"/>
      <c r="U317" s="8"/>
      <c r="V317" s="8"/>
      <c r="W317" s="8"/>
      <c r="X317" s="8"/>
      <c r="Y317" s="8"/>
      <c r="Z317" s="8"/>
      <c r="AA317" s="8"/>
    </row>
    <row r="318" spans="1:27" ht="78.75">
      <c r="A318" s="8" t="s">
        <v>20</v>
      </c>
      <c r="B318" s="29" t="s">
        <v>587</v>
      </c>
      <c r="C318" s="8" t="s">
        <v>908</v>
      </c>
      <c r="D318" s="8" t="s">
        <v>914</v>
      </c>
      <c r="E318" s="8" t="s">
        <v>915</v>
      </c>
      <c r="F318" s="8"/>
      <c r="G318" s="8" t="s">
        <v>62</v>
      </c>
      <c r="H318" s="8" t="s">
        <v>916</v>
      </c>
      <c r="I318" s="9">
        <v>0.5</v>
      </c>
      <c r="J318" s="8" t="s">
        <v>8</v>
      </c>
      <c r="K318" s="8" t="s">
        <v>2258</v>
      </c>
      <c r="L318" s="283" t="s">
        <v>2273</v>
      </c>
      <c r="M318" s="8"/>
      <c r="N318" s="8"/>
      <c r="O318" s="281" t="s">
        <v>2303</v>
      </c>
      <c r="P318" s="8"/>
      <c r="Q318" s="132"/>
      <c r="R318" s="38"/>
      <c r="S318" s="8"/>
      <c r="T318" s="8"/>
      <c r="U318" s="8"/>
      <c r="V318" s="8"/>
      <c r="W318" s="8"/>
      <c r="X318" s="8"/>
      <c r="Y318" s="8"/>
      <c r="Z318" s="8"/>
      <c r="AA318" s="8"/>
    </row>
    <row r="319" spans="1:27">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204.75">
      <c r="A320" s="8" t="s">
        <v>22</v>
      </c>
      <c r="B320" s="31" t="s">
        <v>54</v>
      </c>
      <c r="C320" s="18" t="s">
        <v>918</v>
      </c>
      <c r="D320" s="18" t="s">
        <v>919</v>
      </c>
      <c r="E320" s="18" t="s">
        <v>920</v>
      </c>
      <c r="F320" s="20"/>
      <c r="G320" s="24" t="s">
        <v>62</v>
      </c>
      <c r="H320" s="24" t="s">
        <v>921</v>
      </c>
      <c r="I320" s="24" t="s">
        <v>485</v>
      </c>
      <c r="J320" s="20"/>
      <c r="K320" s="20"/>
      <c r="L320" s="278"/>
      <c r="M320" s="20"/>
      <c r="N320" s="20"/>
      <c r="O320" s="279"/>
      <c r="P320" s="20" t="s">
        <v>2555</v>
      </c>
      <c r="Q320" s="132"/>
      <c r="R320" s="39"/>
      <c r="S320" s="20"/>
      <c r="T320" s="20"/>
      <c r="U320" s="20"/>
      <c r="V320" s="20"/>
      <c r="W320" s="20"/>
      <c r="X320" s="20"/>
      <c r="Y320" s="20"/>
      <c r="Z320" s="20"/>
      <c r="AA320" s="8"/>
    </row>
    <row r="321" spans="1:51" ht="173.25">
      <c r="A321" s="8" t="s">
        <v>22</v>
      </c>
      <c r="B321" s="31" t="s">
        <v>54</v>
      </c>
      <c r="C321" s="18" t="s">
        <v>918</v>
      </c>
      <c r="D321" s="18" t="s">
        <v>922</v>
      </c>
      <c r="E321" s="69" t="s">
        <v>923</v>
      </c>
      <c r="F321" s="8"/>
      <c r="G321" s="18" t="s">
        <v>62</v>
      </c>
      <c r="H321" s="18" t="s">
        <v>921</v>
      </c>
      <c r="I321" s="18" t="s">
        <v>485</v>
      </c>
      <c r="J321" s="8" t="s">
        <v>8</v>
      </c>
      <c r="K321" s="8"/>
      <c r="L321" s="283" t="s">
        <v>2273</v>
      </c>
      <c r="M321" s="8" t="s">
        <v>10</v>
      </c>
      <c r="N321" s="8" t="s">
        <v>2556</v>
      </c>
      <c r="O321" s="281" t="s">
        <v>2303</v>
      </c>
      <c r="P321" s="8" t="s">
        <v>2557</v>
      </c>
      <c r="Q321" s="132"/>
      <c r="R321" s="38"/>
      <c r="S321" s="8"/>
      <c r="T321" s="8"/>
      <c r="U321" s="8"/>
      <c r="V321" s="8"/>
      <c r="W321" s="8"/>
      <c r="X321" s="8"/>
      <c r="Y321" s="8"/>
      <c r="Z321" s="8"/>
      <c r="AA321" s="8"/>
    </row>
    <row r="322" spans="1:51" ht="78.75">
      <c r="A322" s="8" t="s">
        <v>22</v>
      </c>
      <c r="B322" s="31" t="s">
        <v>54</v>
      </c>
      <c r="C322" s="18" t="s">
        <v>918</v>
      </c>
      <c r="D322" s="18" t="s">
        <v>924</v>
      </c>
      <c r="E322" s="69" t="s">
        <v>925</v>
      </c>
      <c r="F322" s="8"/>
      <c r="G322" s="18" t="s">
        <v>62</v>
      </c>
      <c r="H322" s="18" t="s">
        <v>921</v>
      </c>
      <c r="I322" s="18" t="s">
        <v>485</v>
      </c>
      <c r="J322" s="8" t="s">
        <v>8</v>
      </c>
      <c r="K322" s="8"/>
      <c r="L322" s="283" t="s">
        <v>2273</v>
      </c>
      <c r="M322" s="8"/>
      <c r="N322" s="8" t="s">
        <v>2558</v>
      </c>
      <c r="O322" s="281" t="s">
        <v>2303</v>
      </c>
      <c r="P322" s="8"/>
      <c r="Q322" s="132"/>
      <c r="R322" s="38"/>
      <c r="S322" s="8"/>
      <c r="T322" s="8"/>
      <c r="U322" s="8"/>
      <c r="V322" s="8"/>
      <c r="W322" s="8"/>
      <c r="X322" s="8"/>
      <c r="Y322" s="8"/>
      <c r="Z322" s="8"/>
      <c r="AA322" s="8"/>
    </row>
    <row r="323" spans="1:51" ht="63">
      <c r="A323" s="8" t="s">
        <v>22</v>
      </c>
      <c r="B323" s="31" t="s">
        <v>54</v>
      </c>
      <c r="C323" s="18" t="s">
        <v>918</v>
      </c>
      <c r="D323" s="18" t="s">
        <v>926</v>
      </c>
      <c r="E323" s="69" t="s">
        <v>927</v>
      </c>
      <c r="F323" s="8"/>
      <c r="G323" s="18" t="s">
        <v>62</v>
      </c>
      <c r="H323" s="18" t="s">
        <v>921</v>
      </c>
      <c r="I323" s="18" t="s">
        <v>485</v>
      </c>
      <c r="J323" s="8" t="s">
        <v>8</v>
      </c>
      <c r="K323" s="8"/>
      <c r="L323" s="283" t="s">
        <v>2273</v>
      </c>
      <c r="M323" s="8" t="s">
        <v>10</v>
      </c>
      <c r="N323" s="8" t="s">
        <v>2559</v>
      </c>
      <c r="O323" s="281" t="s">
        <v>2303</v>
      </c>
      <c r="P323" s="8" t="s">
        <v>2560</v>
      </c>
      <c r="Q323" s="132"/>
      <c r="R323" s="38"/>
      <c r="S323" s="8"/>
      <c r="T323" s="8"/>
      <c r="U323" s="8"/>
      <c r="V323" s="8"/>
      <c r="W323" s="8"/>
      <c r="X323" s="8"/>
      <c r="Y323" s="8"/>
      <c r="Z323" s="8"/>
      <c r="AA323" s="8"/>
    </row>
    <row r="324" spans="1:51" ht="63">
      <c r="A324" s="8" t="s">
        <v>22</v>
      </c>
      <c r="B324" s="31" t="s">
        <v>54</v>
      </c>
      <c r="C324" s="18" t="s">
        <v>928</v>
      </c>
      <c r="D324" s="18" t="s">
        <v>929</v>
      </c>
      <c r="E324" s="18" t="s">
        <v>930</v>
      </c>
      <c r="F324" s="20"/>
      <c r="G324" s="24" t="s">
        <v>62</v>
      </c>
      <c r="H324" s="20"/>
      <c r="I324" s="20"/>
      <c r="J324" s="20"/>
      <c r="K324" s="20"/>
      <c r="L324" s="278"/>
      <c r="M324" s="20"/>
      <c r="N324" s="20"/>
      <c r="O324" s="279"/>
      <c r="P324" s="20"/>
      <c r="Q324" s="132"/>
      <c r="R324" s="39"/>
      <c r="S324" s="20"/>
      <c r="T324" s="20"/>
      <c r="U324" s="20"/>
      <c r="V324" s="20"/>
      <c r="W324" s="20"/>
      <c r="X324" s="20"/>
      <c r="Y324" s="20"/>
      <c r="Z324" s="20"/>
      <c r="AA324" s="8"/>
    </row>
    <row r="325" spans="1:51" ht="78.75">
      <c r="A325" s="8" t="s">
        <v>22</v>
      </c>
      <c r="B325" s="31" t="s">
        <v>54</v>
      </c>
      <c r="C325" s="18" t="s">
        <v>928</v>
      </c>
      <c r="D325" s="18" t="s">
        <v>931</v>
      </c>
      <c r="E325" s="69" t="s">
        <v>932</v>
      </c>
      <c r="F325" s="8"/>
      <c r="G325" s="18" t="s">
        <v>62</v>
      </c>
      <c r="H325" s="18" t="s">
        <v>493</v>
      </c>
      <c r="I325" s="18" t="s">
        <v>933</v>
      </c>
      <c r="J325" s="8" t="s">
        <v>8</v>
      </c>
      <c r="K325" s="8" t="s">
        <v>2561</v>
      </c>
      <c r="L325" s="283" t="s">
        <v>2273</v>
      </c>
      <c r="M325" s="8"/>
      <c r="N325" s="8"/>
      <c r="O325" s="281" t="s">
        <v>2303</v>
      </c>
      <c r="P325" s="8"/>
      <c r="Q325" s="132"/>
      <c r="R325" s="38"/>
      <c r="S325" s="8"/>
      <c r="T325" s="8"/>
      <c r="U325" s="8"/>
      <c r="V325" s="8"/>
      <c r="W325" s="8"/>
      <c r="X325" s="8"/>
      <c r="Y325" s="8"/>
      <c r="Z325" s="8"/>
      <c r="AA325" s="8"/>
    </row>
    <row r="326" spans="1:51" ht="78.75">
      <c r="A326" s="8" t="s">
        <v>22</v>
      </c>
      <c r="B326" s="31" t="s">
        <v>54</v>
      </c>
      <c r="C326" s="18" t="s">
        <v>928</v>
      </c>
      <c r="D326" s="18" t="s">
        <v>934</v>
      </c>
      <c r="E326" s="69" t="s">
        <v>935</v>
      </c>
      <c r="F326" s="8"/>
      <c r="G326" s="18" t="s">
        <v>62</v>
      </c>
      <c r="H326" s="18" t="s">
        <v>493</v>
      </c>
      <c r="I326" s="18" t="s">
        <v>933</v>
      </c>
      <c r="J326" s="8" t="s">
        <v>8</v>
      </c>
      <c r="K326" s="8" t="s">
        <v>2562</v>
      </c>
      <c r="L326" s="283" t="s">
        <v>2273</v>
      </c>
      <c r="M326" s="8"/>
      <c r="N326" s="8"/>
      <c r="O326" s="281" t="s">
        <v>2303</v>
      </c>
      <c r="P326" s="8"/>
      <c r="Q326" s="132"/>
      <c r="R326" s="38"/>
      <c r="S326" s="8"/>
      <c r="T326" s="8"/>
      <c r="U326" s="8"/>
      <c r="V326" s="8"/>
      <c r="W326" s="8"/>
      <c r="X326" s="8"/>
      <c r="Y326" s="8"/>
      <c r="Z326" s="8"/>
      <c r="AA326" s="8"/>
    </row>
    <row r="327" spans="1:51" ht="78.75">
      <c r="A327" s="8" t="s">
        <v>22</v>
      </c>
      <c r="B327" s="31" t="s">
        <v>54</v>
      </c>
      <c r="C327" s="18" t="s">
        <v>928</v>
      </c>
      <c r="D327" s="18" t="s">
        <v>936</v>
      </c>
      <c r="E327" s="69" t="s">
        <v>937</v>
      </c>
      <c r="F327" s="8"/>
      <c r="G327" s="18" t="s">
        <v>62</v>
      </c>
      <c r="H327" s="18" t="s">
        <v>493</v>
      </c>
      <c r="I327" s="18" t="s">
        <v>933</v>
      </c>
      <c r="J327" s="8" t="s">
        <v>8</v>
      </c>
      <c r="K327" s="8" t="s">
        <v>2563</v>
      </c>
      <c r="L327" s="283" t="s">
        <v>2273</v>
      </c>
      <c r="M327" s="8"/>
      <c r="N327" s="8"/>
      <c r="O327" s="281" t="s">
        <v>2303</v>
      </c>
      <c r="P327" s="8"/>
      <c r="Q327" s="132"/>
      <c r="R327" s="38"/>
      <c r="S327" s="8"/>
      <c r="T327" s="8"/>
      <c r="U327" s="8"/>
      <c r="V327" s="8"/>
      <c r="W327" s="8"/>
      <c r="X327" s="8"/>
      <c r="Y327" s="8"/>
      <c r="Z327" s="8"/>
      <c r="AA327" s="8"/>
    </row>
    <row r="328" spans="1:51" ht="78.75">
      <c r="A328" s="8" t="s">
        <v>22</v>
      </c>
      <c r="B328" s="31" t="s">
        <v>54</v>
      </c>
      <c r="C328" s="18" t="s">
        <v>928</v>
      </c>
      <c r="D328" s="18" t="s">
        <v>938</v>
      </c>
      <c r="E328" s="69" t="s">
        <v>939</v>
      </c>
      <c r="F328" s="8"/>
      <c r="G328" s="18" t="s">
        <v>62</v>
      </c>
      <c r="H328" s="18" t="s">
        <v>493</v>
      </c>
      <c r="I328" s="18" t="s">
        <v>933</v>
      </c>
      <c r="J328" s="8" t="s">
        <v>8</v>
      </c>
      <c r="K328" s="8" t="s">
        <v>2561</v>
      </c>
      <c r="L328" s="283" t="s">
        <v>2273</v>
      </c>
      <c r="M328" s="8"/>
      <c r="N328" s="8"/>
      <c r="O328" s="281" t="s">
        <v>2303</v>
      </c>
      <c r="P328" s="8"/>
      <c r="Q328" s="132"/>
      <c r="R328" s="38"/>
      <c r="S328" s="8"/>
      <c r="T328" s="8"/>
      <c r="U328" s="8"/>
      <c r="V328" s="8"/>
      <c r="W328" s="8"/>
      <c r="X328" s="8"/>
      <c r="Y328" s="8"/>
      <c r="Z328" s="8"/>
      <c r="AA328" s="8"/>
    </row>
    <row r="329" spans="1:51" ht="111.6" customHeight="1">
      <c r="A329" s="8" t="s">
        <v>22</v>
      </c>
      <c r="B329" s="31" t="s">
        <v>54</v>
      </c>
      <c r="C329" s="18" t="s">
        <v>928</v>
      </c>
      <c r="D329" s="18" t="s">
        <v>940</v>
      </c>
      <c r="E329" s="18" t="s">
        <v>941</v>
      </c>
      <c r="F329" s="8"/>
      <c r="G329" s="18" t="s">
        <v>62</v>
      </c>
      <c r="H329" s="18" t="s">
        <v>525</v>
      </c>
      <c r="I329" s="18" t="s">
        <v>526</v>
      </c>
      <c r="J329" s="8" t="s">
        <v>8</v>
      </c>
      <c r="K329" s="8" t="s">
        <v>2258</v>
      </c>
      <c r="L329" s="283" t="s">
        <v>2273</v>
      </c>
      <c r="M329" s="8"/>
      <c r="N329" s="8"/>
      <c r="O329" s="281" t="s">
        <v>2303</v>
      </c>
      <c r="P329" s="8"/>
      <c r="Q329" s="132"/>
      <c r="R329" s="38"/>
      <c r="S329" s="8"/>
      <c r="T329" s="8"/>
      <c r="U329" s="8"/>
      <c r="V329" s="8"/>
      <c r="W329" s="8"/>
      <c r="X329" s="8"/>
      <c r="Y329" s="8"/>
      <c r="Z329" s="8"/>
      <c r="AA329" s="8"/>
    </row>
    <row r="330" spans="1:51" ht="67.900000000000006" customHeight="1">
      <c r="A330" s="8" t="s">
        <v>22</v>
      </c>
      <c r="B330" s="31" t="s">
        <v>54</v>
      </c>
      <c r="C330" s="18" t="s">
        <v>928</v>
      </c>
      <c r="D330" s="18" t="s">
        <v>942</v>
      </c>
      <c r="E330" s="18" t="s">
        <v>943</v>
      </c>
      <c r="F330" s="8" t="s">
        <v>2259</v>
      </c>
      <c r="G330" s="18" t="s">
        <v>62</v>
      </c>
      <c r="H330" s="18" t="s">
        <v>944</v>
      </c>
      <c r="I330" s="23">
        <v>1</v>
      </c>
      <c r="J330" s="8" t="s">
        <v>8</v>
      </c>
      <c r="K330" s="8"/>
      <c r="L330" s="283" t="s">
        <v>2273</v>
      </c>
      <c r="M330" s="8" t="s">
        <v>10</v>
      </c>
      <c r="N330" s="8" t="s">
        <v>2564</v>
      </c>
      <c r="O330" s="281" t="s">
        <v>2303</v>
      </c>
      <c r="P330" s="8" t="s">
        <v>2560</v>
      </c>
      <c r="Q330" s="132"/>
      <c r="R330" s="38"/>
      <c r="S330" s="8"/>
      <c r="T330" s="8"/>
      <c r="U330" s="8"/>
      <c r="V330" s="8"/>
      <c r="W330" s="8"/>
      <c r="X330" s="8"/>
      <c r="Y330" s="8"/>
      <c r="Z330" s="8"/>
      <c r="AA330" s="8"/>
    </row>
    <row r="331" spans="1:51" ht="51" customHeight="1">
      <c r="A331" s="8" t="s">
        <v>22</v>
      </c>
      <c r="B331" s="31" t="s">
        <v>54</v>
      </c>
      <c r="C331" s="18" t="s">
        <v>928</v>
      </c>
      <c r="D331" s="18" t="s">
        <v>945</v>
      </c>
      <c r="E331" s="18" t="s">
        <v>946</v>
      </c>
      <c r="F331" s="8" t="s">
        <v>2259</v>
      </c>
      <c r="G331" s="18" t="s">
        <v>62</v>
      </c>
      <c r="H331" s="18" t="s">
        <v>944</v>
      </c>
      <c r="I331" s="23">
        <v>1</v>
      </c>
      <c r="J331" s="8" t="s">
        <v>8</v>
      </c>
      <c r="K331" s="8"/>
      <c r="L331" s="283" t="s">
        <v>2273</v>
      </c>
      <c r="M331" s="8" t="s">
        <v>10</v>
      </c>
      <c r="N331" s="8" t="s">
        <v>2564</v>
      </c>
      <c r="O331" s="281" t="s">
        <v>2303</v>
      </c>
      <c r="P331" s="8" t="s">
        <v>2560</v>
      </c>
      <c r="Q331" s="132"/>
      <c r="R331" s="38"/>
      <c r="S331" s="8"/>
      <c r="T331" s="8"/>
      <c r="U331" s="8"/>
      <c r="V331" s="8"/>
      <c r="W331" s="8"/>
      <c r="X331" s="8"/>
      <c r="Y331" s="8"/>
      <c r="Z331" s="8"/>
      <c r="AA331" s="8"/>
    </row>
    <row r="332" spans="1:51" s="5" customFormat="1" ht="31.5" hidden="1">
      <c r="A332" s="20" t="s">
        <v>22</v>
      </c>
      <c r="B332" s="32" t="s">
        <v>54</v>
      </c>
      <c r="C332" s="24" t="s">
        <v>947</v>
      </c>
      <c r="D332" s="19" t="s">
        <v>582</v>
      </c>
      <c r="E332" s="24" t="s">
        <v>582</v>
      </c>
      <c r="F332" s="24" t="s">
        <v>582</v>
      </c>
      <c r="G332" s="19" t="s">
        <v>582</v>
      </c>
      <c r="H332" s="19" t="s">
        <v>582</v>
      </c>
      <c r="I332" s="19" t="s">
        <v>582</v>
      </c>
      <c r="J332" s="19" t="s">
        <v>582</v>
      </c>
      <c r="K332" s="19" t="s">
        <v>582</v>
      </c>
      <c r="L332" s="19" t="s">
        <v>582</v>
      </c>
      <c r="M332" s="19" t="s">
        <v>582</v>
      </c>
      <c r="N332" s="19" t="s">
        <v>582</v>
      </c>
      <c r="O332" s="19" t="s">
        <v>582</v>
      </c>
      <c r="P332" s="19" t="s">
        <v>582</v>
      </c>
      <c r="Q332" s="48"/>
      <c r="R332" s="44" t="s">
        <v>582</v>
      </c>
      <c r="S332" s="19" t="s">
        <v>582</v>
      </c>
      <c r="T332" s="19" t="s">
        <v>582</v>
      </c>
      <c r="U332" s="19"/>
      <c r="V332" s="19" t="s">
        <v>582</v>
      </c>
      <c r="W332" s="19" t="s">
        <v>582</v>
      </c>
      <c r="X332" s="19" t="s">
        <v>582</v>
      </c>
      <c r="Y332" s="19" t="s">
        <v>582</v>
      </c>
      <c r="Z332" s="19" t="s">
        <v>582</v>
      </c>
      <c r="AA332" s="19" t="s">
        <v>582</v>
      </c>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customHeight="1">
      <c r="A333" s="8" t="s">
        <v>22</v>
      </c>
      <c r="B333" s="31" t="s">
        <v>195</v>
      </c>
      <c r="C333" s="18" t="s">
        <v>948</v>
      </c>
      <c r="D333" s="18" t="s">
        <v>949</v>
      </c>
      <c r="E333" s="18" t="s">
        <v>950</v>
      </c>
      <c r="F333" s="8" t="s">
        <v>2259</v>
      </c>
      <c r="G333" s="18" t="s">
        <v>62</v>
      </c>
      <c r="H333" s="18" t="s">
        <v>951</v>
      </c>
      <c r="I333" s="23">
        <v>1</v>
      </c>
      <c r="J333" s="8" t="s">
        <v>8</v>
      </c>
      <c r="K333" s="8" t="s">
        <v>2565</v>
      </c>
      <c r="L333" s="283" t="s">
        <v>2273</v>
      </c>
      <c r="M333" s="8"/>
      <c r="N333" s="8"/>
      <c r="O333" s="281" t="s">
        <v>2303</v>
      </c>
      <c r="P333" s="8"/>
      <c r="Q333" s="132"/>
      <c r="R333" s="38"/>
      <c r="S333" s="8"/>
      <c r="T333" s="8"/>
      <c r="U333" s="8"/>
      <c r="V333" s="8"/>
      <c r="W333" s="8"/>
      <c r="X333" s="8"/>
      <c r="Y333" s="8"/>
      <c r="Z333" s="8"/>
      <c r="AA333" s="8"/>
    </row>
    <row r="334" spans="1:51" ht="34.15" customHeight="1">
      <c r="A334" s="8" t="s">
        <v>22</v>
      </c>
      <c r="B334" s="31" t="s">
        <v>195</v>
      </c>
      <c r="C334" s="18" t="s">
        <v>952</v>
      </c>
      <c r="D334" s="18" t="s">
        <v>953</v>
      </c>
      <c r="E334" s="18" t="s">
        <v>954</v>
      </c>
      <c r="F334" s="8" t="s">
        <v>2259</v>
      </c>
      <c r="G334" s="18" t="s">
        <v>62</v>
      </c>
      <c r="H334" s="18" t="s">
        <v>955</v>
      </c>
      <c r="I334" s="23">
        <v>1</v>
      </c>
      <c r="J334" s="8" t="s">
        <v>8</v>
      </c>
      <c r="K334" s="8" t="s">
        <v>2258</v>
      </c>
      <c r="L334" s="283" t="s">
        <v>2350</v>
      </c>
      <c r="M334" s="8"/>
      <c r="N334" s="8"/>
      <c r="O334" s="281" t="s">
        <v>2303</v>
      </c>
      <c r="P334" s="8" t="s">
        <v>2566</v>
      </c>
      <c r="Q334" s="132"/>
      <c r="R334" s="38"/>
      <c r="S334" s="8"/>
      <c r="T334" s="8"/>
      <c r="U334" s="8"/>
      <c r="V334" s="8"/>
      <c r="W334" s="8"/>
      <c r="X334" s="8"/>
      <c r="Y334" s="8"/>
      <c r="Z334" s="8"/>
      <c r="AA334" s="8"/>
    </row>
    <row r="335" spans="1:51" s="5" customFormat="1" ht="47.25" hidden="1">
      <c r="A335" s="20" t="s">
        <v>22</v>
      </c>
      <c r="B335" s="32" t="s">
        <v>195</v>
      </c>
      <c r="C335" s="24" t="s">
        <v>956</v>
      </c>
      <c r="D335" s="19" t="s">
        <v>582</v>
      </c>
      <c r="E335" s="24" t="s">
        <v>582</v>
      </c>
      <c r="F335" s="24" t="s">
        <v>582</v>
      </c>
      <c r="G335" s="19" t="s">
        <v>582</v>
      </c>
      <c r="H335" s="19" t="s">
        <v>582</v>
      </c>
      <c r="I335" s="19" t="s">
        <v>582</v>
      </c>
      <c r="J335" s="19" t="s">
        <v>582</v>
      </c>
      <c r="K335" s="19" t="s">
        <v>582</v>
      </c>
      <c r="L335" s="19" t="s">
        <v>582</v>
      </c>
      <c r="M335" s="19" t="s">
        <v>582</v>
      </c>
      <c r="N335" s="19" t="s">
        <v>582</v>
      </c>
      <c r="O335" s="19" t="s">
        <v>582</v>
      </c>
      <c r="P335" s="19" t="s">
        <v>582</v>
      </c>
      <c r="Q335" s="48"/>
      <c r="R335" s="44" t="s">
        <v>582</v>
      </c>
      <c r="S335" s="19" t="s">
        <v>582</v>
      </c>
      <c r="T335" s="19" t="s">
        <v>582</v>
      </c>
      <c r="U335" s="19"/>
      <c r="V335" s="19" t="s">
        <v>582</v>
      </c>
      <c r="W335" s="19" t="s">
        <v>582</v>
      </c>
      <c r="X335" s="19" t="s">
        <v>582</v>
      </c>
      <c r="Y335" s="19" t="s">
        <v>582</v>
      </c>
      <c r="Z335" s="19" t="s">
        <v>582</v>
      </c>
      <c r="AA335" s="19" t="s">
        <v>582</v>
      </c>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110.25">
      <c r="A336" s="8" t="s">
        <v>22</v>
      </c>
      <c r="B336" s="31" t="s">
        <v>195</v>
      </c>
      <c r="C336" s="18" t="s">
        <v>957</v>
      </c>
      <c r="D336" s="18" t="s">
        <v>958</v>
      </c>
      <c r="E336" s="18" t="s">
        <v>959</v>
      </c>
      <c r="F336" s="8" t="s">
        <v>2259</v>
      </c>
      <c r="G336" s="18" t="s">
        <v>62</v>
      </c>
      <c r="H336" s="18" t="s">
        <v>960</v>
      </c>
      <c r="I336" s="18" t="s">
        <v>671</v>
      </c>
      <c r="J336" s="8" t="s">
        <v>8</v>
      </c>
      <c r="K336" s="8" t="s">
        <v>2258</v>
      </c>
      <c r="L336" s="283" t="s">
        <v>2273</v>
      </c>
      <c r="M336" s="8"/>
      <c r="N336" s="8"/>
      <c r="O336" s="281" t="s">
        <v>2303</v>
      </c>
      <c r="P336" s="8"/>
      <c r="Q336" s="132"/>
      <c r="R336" s="38"/>
      <c r="S336" s="8"/>
      <c r="T336" s="8"/>
      <c r="U336" s="8"/>
      <c r="V336" s="8"/>
      <c r="W336" s="8"/>
      <c r="X336" s="8"/>
      <c r="Y336" s="8"/>
      <c r="Z336" s="8"/>
      <c r="AA336" s="8"/>
    </row>
    <row r="337" spans="1:51" ht="49.9" customHeight="1">
      <c r="A337" s="8" t="s">
        <v>22</v>
      </c>
      <c r="B337" s="31" t="s">
        <v>195</v>
      </c>
      <c r="C337" s="18" t="s">
        <v>957</v>
      </c>
      <c r="D337" s="18" t="s">
        <v>961</v>
      </c>
      <c r="E337" s="18" t="s">
        <v>962</v>
      </c>
      <c r="F337" s="8" t="s">
        <v>2259</v>
      </c>
      <c r="G337" s="18" t="s">
        <v>62</v>
      </c>
      <c r="H337" s="18" t="s">
        <v>259</v>
      </c>
      <c r="I337" s="18" t="s">
        <v>255</v>
      </c>
      <c r="J337" s="8" t="s">
        <v>8</v>
      </c>
      <c r="K337" s="8" t="s">
        <v>2258</v>
      </c>
      <c r="L337" s="283" t="s">
        <v>2273</v>
      </c>
      <c r="M337" s="8" t="s">
        <v>11</v>
      </c>
      <c r="N337" s="8" t="s">
        <v>2567</v>
      </c>
      <c r="O337" s="281">
        <v>3000</v>
      </c>
      <c r="P337" s="8" t="s">
        <v>2568</v>
      </c>
      <c r="Q337" s="132"/>
      <c r="R337" s="38"/>
      <c r="S337" s="8"/>
      <c r="T337" s="8"/>
      <c r="U337" s="8"/>
      <c r="V337" s="8"/>
      <c r="W337" s="8"/>
      <c r="X337" s="8"/>
      <c r="Y337" s="8"/>
      <c r="Z337" s="8"/>
      <c r="AA337" s="8"/>
    </row>
    <row r="338" spans="1:51" ht="48.6" customHeight="1">
      <c r="A338" s="8" t="s">
        <v>22</v>
      </c>
      <c r="B338" s="31" t="s">
        <v>195</v>
      </c>
      <c r="C338" s="18" t="s">
        <v>957</v>
      </c>
      <c r="D338" s="18" t="s">
        <v>963</v>
      </c>
      <c r="E338" s="18" t="s">
        <v>964</v>
      </c>
      <c r="F338" s="8" t="s">
        <v>2259</v>
      </c>
      <c r="G338" s="18" t="s">
        <v>62</v>
      </c>
      <c r="H338" s="18" t="s">
        <v>266</v>
      </c>
      <c r="I338" s="18" t="s">
        <v>210</v>
      </c>
      <c r="J338" s="8" t="s">
        <v>8</v>
      </c>
      <c r="K338" s="8" t="s">
        <v>2258</v>
      </c>
      <c r="L338" s="283" t="s">
        <v>2273</v>
      </c>
      <c r="M338" s="8"/>
      <c r="N338" s="8"/>
      <c r="O338" s="281" t="s">
        <v>2303</v>
      </c>
      <c r="P338" s="8" t="s">
        <v>2258</v>
      </c>
      <c r="Q338" s="132"/>
      <c r="R338" s="38"/>
      <c r="S338" s="8"/>
      <c r="T338" s="8"/>
      <c r="U338" s="8"/>
      <c r="V338" s="8"/>
      <c r="W338" s="8"/>
      <c r="X338" s="8"/>
      <c r="Y338" s="8"/>
      <c r="Z338" s="8"/>
      <c r="AA338" s="8"/>
    </row>
    <row r="339" spans="1:51" ht="173.25">
      <c r="A339" s="8" t="s">
        <v>22</v>
      </c>
      <c r="B339" s="31" t="s">
        <v>195</v>
      </c>
      <c r="C339" s="18" t="s">
        <v>957</v>
      </c>
      <c r="D339" s="18" t="s">
        <v>965</v>
      </c>
      <c r="E339" s="18" t="s">
        <v>966</v>
      </c>
      <c r="F339" s="8" t="s">
        <v>2259</v>
      </c>
      <c r="G339" s="18" t="s">
        <v>62</v>
      </c>
      <c r="H339" s="18" t="s">
        <v>967</v>
      </c>
      <c r="I339" s="18" t="s">
        <v>968</v>
      </c>
      <c r="J339" s="8" t="s">
        <v>8</v>
      </c>
      <c r="K339" s="8" t="s">
        <v>2258</v>
      </c>
      <c r="L339" s="283" t="s">
        <v>2273</v>
      </c>
      <c r="M339" s="8"/>
      <c r="N339" s="8"/>
      <c r="O339" s="281" t="s">
        <v>2303</v>
      </c>
      <c r="P339" s="8" t="s">
        <v>2569</v>
      </c>
      <c r="Q339" s="132"/>
      <c r="R339" s="38"/>
      <c r="S339" s="8"/>
      <c r="T339" s="8"/>
      <c r="U339" s="8"/>
      <c r="V339" s="8"/>
      <c r="W339" s="8"/>
      <c r="X339" s="8"/>
      <c r="Y339" s="8"/>
      <c r="Z339" s="8"/>
      <c r="AA339" s="8"/>
    </row>
    <row r="340" spans="1:51" ht="45.6" customHeight="1">
      <c r="A340" s="8" t="s">
        <v>22</v>
      </c>
      <c r="B340" s="31" t="s">
        <v>195</v>
      </c>
      <c r="C340" s="18" t="s">
        <v>957</v>
      </c>
      <c r="D340" s="18" t="s">
        <v>969</v>
      </c>
      <c r="E340" s="18" t="s">
        <v>970</v>
      </c>
      <c r="F340" s="8" t="s">
        <v>2259</v>
      </c>
      <c r="G340" s="18" t="s">
        <v>62</v>
      </c>
      <c r="H340" s="18" t="s">
        <v>273</v>
      </c>
      <c r="I340" s="18" t="s">
        <v>135</v>
      </c>
      <c r="J340" s="8" t="s">
        <v>8</v>
      </c>
      <c r="K340" s="8" t="s">
        <v>2536</v>
      </c>
      <c r="L340" s="283" t="s">
        <v>2273</v>
      </c>
      <c r="M340" s="8"/>
      <c r="N340" s="8"/>
      <c r="O340" s="281" t="s">
        <v>2303</v>
      </c>
      <c r="P340" s="8" t="s">
        <v>2570</v>
      </c>
      <c r="Q340" s="132"/>
      <c r="R340" s="38"/>
      <c r="S340" s="8"/>
      <c r="T340" s="8"/>
      <c r="U340" s="8"/>
      <c r="V340" s="8"/>
      <c r="W340" s="8"/>
      <c r="X340" s="8"/>
      <c r="Y340" s="8"/>
      <c r="Z340" s="8"/>
      <c r="AA340" s="8"/>
    </row>
    <row r="341" spans="1:51" ht="69" customHeight="1">
      <c r="A341" s="8" t="s">
        <v>22</v>
      </c>
      <c r="B341" s="31" t="s">
        <v>274</v>
      </c>
      <c r="C341" s="18" t="s">
        <v>971</v>
      </c>
      <c r="D341" s="18" t="s">
        <v>972</v>
      </c>
      <c r="E341" s="18" t="s">
        <v>973</v>
      </c>
      <c r="F341" s="8" t="s">
        <v>2259</v>
      </c>
      <c r="G341" s="18" t="s">
        <v>62</v>
      </c>
      <c r="H341" s="18" t="s">
        <v>974</v>
      </c>
      <c r="I341" s="23">
        <v>1</v>
      </c>
      <c r="J341" s="8" t="s">
        <v>8</v>
      </c>
      <c r="K341" s="8" t="s">
        <v>2258</v>
      </c>
      <c r="L341" s="283" t="s">
        <v>2273</v>
      </c>
      <c r="M341" s="8"/>
      <c r="N341" s="8"/>
      <c r="O341" s="281" t="s">
        <v>2303</v>
      </c>
      <c r="P341" s="8"/>
      <c r="Q341" s="132"/>
      <c r="R341" s="38"/>
      <c r="S341" s="8"/>
      <c r="T341" s="8"/>
      <c r="U341" s="8"/>
      <c r="V341" s="8"/>
      <c r="W341" s="8"/>
      <c r="X341" s="8"/>
      <c r="Y341" s="8"/>
      <c r="Z341" s="8"/>
      <c r="AA341" s="8"/>
    </row>
    <row r="342" spans="1:51" s="5" customFormat="1" ht="78.75" hidden="1">
      <c r="A342" s="20" t="s">
        <v>22</v>
      </c>
      <c r="B342" s="32" t="s">
        <v>274</v>
      </c>
      <c r="C342" s="24" t="s">
        <v>975</v>
      </c>
      <c r="D342" s="24" t="s">
        <v>582</v>
      </c>
      <c r="E342" s="24" t="s">
        <v>582</v>
      </c>
      <c r="F342" s="24" t="s">
        <v>582</v>
      </c>
      <c r="G342" s="24" t="s">
        <v>582</v>
      </c>
      <c r="H342" s="24" t="s">
        <v>582</v>
      </c>
      <c r="I342" s="24" t="s">
        <v>582</v>
      </c>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t="s">
        <v>582</v>
      </c>
      <c r="E343" s="24" t="s">
        <v>582</v>
      </c>
      <c r="F343" s="24" t="s">
        <v>582</v>
      </c>
      <c r="G343" s="24" t="s">
        <v>582</v>
      </c>
      <c r="H343" s="24" t="s">
        <v>582</v>
      </c>
      <c r="I343" s="24" t="s">
        <v>582</v>
      </c>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c r="A344" s="8" t="s">
        <v>22</v>
      </c>
      <c r="B344" s="31" t="s">
        <v>274</v>
      </c>
      <c r="C344" s="18" t="s">
        <v>977</v>
      </c>
      <c r="D344" s="18" t="s">
        <v>978</v>
      </c>
      <c r="E344" s="18" t="s">
        <v>979</v>
      </c>
      <c r="F344" s="8"/>
      <c r="G344" s="18" t="s">
        <v>62</v>
      </c>
      <c r="H344" s="18" t="s">
        <v>980</v>
      </c>
      <c r="I344" s="23">
        <v>0.8</v>
      </c>
      <c r="J344" s="8" t="s">
        <v>8</v>
      </c>
      <c r="K344" s="8" t="s">
        <v>2258</v>
      </c>
      <c r="L344" s="283" t="s">
        <v>2273</v>
      </c>
      <c r="M344" s="8"/>
      <c r="N344" s="8"/>
      <c r="O344" s="281" t="s">
        <v>2303</v>
      </c>
      <c r="P344" s="8"/>
      <c r="Q344" s="132"/>
      <c r="R344" s="38"/>
      <c r="S344" s="8"/>
      <c r="T344" s="8"/>
      <c r="U344" s="8"/>
      <c r="V344" s="8"/>
      <c r="W344" s="8"/>
      <c r="X344" s="8"/>
      <c r="Y344" s="8"/>
      <c r="Z344" s="8"/>
      <c r="AA344" s="8"/>
    </row>
    <row r="345" spans="1:51" ht="110.25">
      <c r="A345" s="8" t="s">
        <v>22</v>
      </c>
      <c r="B345" s="31" t="s">
        <v>274</v>
      </c>
      <c r="C345" s="18" t="s">
        <v>977</v>
      </c>
      <c r="D345" s="18" t="s">
        <v>981</v>
      </c>
      <c r="E345" s="18" t="s">
        <v>982</v>
      </c>
      <c r="F345" s="8" t="s">
        <v>2259</v>
      </c>
      <c r="G345" s="18" t="s">
        <v>62</v>
      </c>
      <c r="H345" s="18" t="s">
        <v>983</v>
      </c>
      <c r="I345" s="18" t="s">
        <v>110</v>
      </c>
      <c r="J345" s="8" t="s">
        <v>8</v>
      </c>
      <c r="K345" s="8" t="s">
        <v>2258</v>
      </c>
      <c r="L345" s="283" t="s">
        <v>2273</v>
      </c>
      <c r="M345" s="8"/>
      <c r="N345" s="8"/>
      <c r="O345" s="281" t="s">
        <v>2303</v>
      </c>
      <c r="P345" s="8" t="s">
        <v>2571</v>
      </c>
      <c r="Q345" s="132"/>
      <c r="R345" s="38"/>
      <c r="S345" s="8"/>
      <c r="T345" s="8"/>
      <c r="U345" s="8"/>
      <c r="V345" s="8"/>
      <c r="W345" s="8"/>
      <c r="X345" s="8"/>
      <c r="Y345" s="8"/>
      <c r="Z345" s="8"/>
      <c r="AA345" s="8"/>
    </row>
    <row r="346" spans="1:51" ht="78.75">
      <c r="A346" s="8" t="s">
        <v>22</v>
      </c>
      <c r="B346" s="31" t="s">
        <v>587</v>
      </c>
      <c r="C346" s="18" t="s">
        <v>984</v>
      </c>
      <c r="D346" s="18" t="s">
        <v>985</v>
      </c>
      <c r="E346" s="18" t="s">
        <v>986</v>
      </c>
      <c r="F346" s="20"/>
      <c r="G346" s="24" t="s">
        <v>62</v>
      </c>
      <c r="H346" s="24" t="s">
        <v>591</v>
      </c>
      <c r="I346" s="25">
        <v>1</v>
      </c>
      <c r="J346" s="20"/>
      <c r="K346" s="20"/>
      <c r="L346" s="278"/>
      <c r="M346" s="20"/>
      <c r="N346" s="20"/>
      <c r="O346" s="279"/>
      <c r="P346" s="20"/>
      <c r="Q346" s="132"/>
      <c r="R346" s="39"/>
      <c r="S346" s="20"/>
      <c r="T346" s="20"/>
      <c r="U346" s="20"/>
      <c r="V346" s="20"/>
      <c r="W346" s="20"/>
      <c r="X346" s="20"/>
      <c r="Y346" s="20"/>
      <c r="Z346" s="20"/>
      <c r="AA346" s="20"/>
    </row>
    <row r="347" spans="1:51" ht="110.25">
      <c r="A347" s="8" t="s">
        <v>22</v>
      </c>
      <c r="B347" s="31" t="s">
        <v>587</v>
      </c>
      <c r="C347" s="18" t="s">
        <v>984</v>
      </c>
      <c r="D347" s="18" t="s">
        <v>987</v>
      </c>
      <c r="E347" s="69" t="s">
        <v>988</v>
      </c>
      <c r="F347" s="8" t="s">
        <v>2259</v>
      </c>
      <c r="G347" s="18" t="s">
        <v>62</v>
      </c>
      <c r="H347" s="18" t="s">
        <v>591</v>
      </c>
      <c r="I347" s="23">
        <v>1</v>
      </c>
      <c r="J347" s="8" t="s">
        <v>8</v>
      </c>
      <c r="K347" s="8" t="s">
        <v>2561</v>
      </c>
      <c r="L347" s="283" t="s">
        <v>2273</v>
      </c>
      <c r="M347" s="8"/>
      <c r="N347" s="8"/>
      <c r="O347" s="281" t="s">
        <v>2303</v>
      </c>
      <c r="P347" s="8"/>
      <c r="Q347" s="132"/>
      <c r="R347" s="38"/>
      <c r="S347" s="8"/>
      <c r="T347" s="8"/>
      <c r="U347" s="8"/>
      <c r="V347" s="8"/>
      <c r="W347" s="8"/>
      <c r="X347" s="8"/>
      <c r="Y347" s="8"/>
      <c r="Z347" s="8"/>
      <c r="AA347" s="8"/>
    </row>
    <row r="348" spans="1:51" ht="110.25">
      <c r="A348" s="8" t="s">
        <v>22</v>
      </c>
      <c r="B348" s="31" t="s">
        <v>587</v>
      </c>
      <c r="C348" s="18" t="s">
        <v>984</v>
      </c>
      <c r="D348" s="18" t="s">
        <v>989</v>
      </c>
      <c r="E348" s="69" t="s">
        <v>990</v>
      </c>
      <c r="F348" s="8" t="s">
        <v>2259</v>
      </c>
      <c r="G348" s="18" t="s">
        <v>62</v>
      </c>
      <c r="H348" s="18" t="s">
        <v>591</v>
      </c>
      <c r="I348" s="23">
        <v>1</v>
      </c>
      <c r="J348" s="8" t="s">
        <v>8</v>
      </c>
      <c r="K348" s="8" t="s">
        <v>2258</v>
      </c>
      <c r="L348" s="283" t="s">
        <v>2273</v>
      </c>
      <c r="M348" s="8"/>
      <c r="N348" s="8"/>
      <c r="O348" s="281" t="s">
        <v>2303</v>
      </c>
      <c r="P348" s="8"/>
      <c r="Q348" s="132"/>
      <c r="R348" s="38"/>
      <c r="S348" s="8"/>
      <c r="T348" s="8"/>
      <c r="U348" s="8"/>
      <c r="V348" s="8"/>
      <c r="W348" s="8"/>
      <c r="X348" s="8"/>
      <c r="Y348" s="8"/>
      <c r="Z348" s="8"/>
      <c r="AA348" s="8"/>
    </row>
    <row r="349" spans="1:51" ht="110.25">
      <c r="A349" s="8" t="s">
        <v>22</v>
      </c>
      <c r="B349" s="31" t="s">
        <v>587</v>
      </c>
      <c r="C349" s="18" t="s">
        <v>984</v>
      </c>
      <c r="D349" s="18" t="s">
        <v>991</v>
      </c>
      <c r="E349" s="69" t="s">
        <v>992</v>
      </c>
      <c r="F349" s="8" t="s">
        <v>2259</v>
      </c>
      <c r="G349" s="18" t="s">
        <v>62</v>
      </c>
      <c r="H349" s="18" t="s">
        <v>591</v>
      </c>
      <c r="I349" s="23">
        <v>1</v>
      </c>
      <c r="J349" s="8" t="s">
        <v>8</v>
      </c>
      <c r="K349" s="8" t="s">
        <v>2548</v>
      </c>
      <c r="L349" s="283" t="s">
        <v>2273</v>
      </c>
      <c r="M349" s="8"/>
      <c r="N349" s="8"/>
      <c r="O349" s="281" t="s">
        <v>2303</v>
      </c>
      <c r="P349" s="8"/>
      <c r="Q349" s="132"/>
      <c r="R349" s="38"/>
      <c r="S349" s="8"/>
      <c r="T349" s="8"/>
      <c r="U349" s="8"/>
      <c r="V349" s="8"/>
      <c r="W349" s="8"/>
      <c r="X349" s="8"/>
      <c r="Y349" s="8"/>
      <c r="Z349" s="8"/>
      <c r="AA349" s="8"/>
    </row>
    <row r="350" spans="1:51" ht="63">
      <c r="A350" s="8" t="s">
        <v>22</v>
      </c>
      <c r="B350" s="31" t="s">
        <v>587</v>
      </c>
      <c r="C350" s="18" t="s">
        <v>984</v>
      </c>
      <c r="D350" s="18" t="s">
        <v>993</v>
      </c>
      <c r="E350" s="69" t="s">
        <v>994</v>
      </c>
      <c r="F350" s="8"/>
      <c r="G350" s="18" t="s">
        <v>62</v>
      </c>
      <c r="H350" s="18" t="s">
        <v>591</v>
      </c>
      <c r="I350" s="23">
        <v>1</v>
      </c>
      <c r="J350" s="8" t="s">
        <v>8</v>
      </c>
      <c r="K350" s="8" t="s">
        <v>2561</v>
      </c>
      <c r="L350" s="283" t="s">
        <v>2273</v>
      </c>
      <c r="M350" s="8"/>
      <c r="N350" s="8"/>
      <c r="O350" s="281" t="s">
        <v>2303</v>
      </c>
      <c r="P350" s="8"/>
      <c r="Q350" s="132"/>
      <c r="R350" s="38"/>
      <c r="S350" s="8"/>
      <c r="T350" s="8"/>
      <c r="U350" s="8"/>
      <c r="V350" s="8"/>
      <c r="W350" s="8"/>
      <c r="X350" s="8"/>
      <c r="Y350" s="8"/>
      <c r="Z350" s="8"/>
      <c r="AA350" s="8"/>
    </row>
    <row r="351" spans="1:51" ht="63">
      <c r="A351" s="8" t="s">
        <v>22</v>
      </c>
      <c r="B351" s="31" t="s">
        <v>587</v>
      </c>
      <c r="C351" s="18" t="s">
        <v>984</v>
      </c>
      <c r="D351" s="18" t="s">
        <v>995</v>
      </c>
      <c r="E351" s="69" t="s">
        <v>996</v>
      </c>
      <c r="F351" s="8"/>
      <c r="G351" s="18" t="s">
        <v>62</v>
      </c>
      <c r="H351" s="18" t="s">
        <v>591</v>
      </c>
      <c r="I351" s="23">
        <v>1</v>
      </c>
      <c r="J351" s="8" t="s">
        <v>1191</v>
      </c>
      <c r="K351" s="8" t="s">
        <v>2258</v>
      </c>
      <c r="L351" s="283" t="s">
        <v>2273</v>
      </c>
      <c r="M351" s="8"/>
      <c r="N351" s="8"/>
      <c r="O351" s="281" t="s">
        <v>2303</v>
      </c>
      <c r="P351" s="8"/>
      <c r="Q351" s="132"/>
      <c r="R351" s="38"/>
      <c r="S351" s="8"/>
      <c r="T351" s="8"/>
      <c r="U351" s="8"/>
      <c r="V351" s="8"/>
      <c r="W351" s="8"/>
      <c r="X351" s="8"/>
      <c r="Y351" s="8"/>
      <c r="Z351" s="8"/>
      <c r="AA351" s="8"/>
    </row>
    <row r="352" spans="1:51" ht="63">
      <c r="A352" s="8" t="s">
        <v>22</v>
      </c>
      <c r="B352" s="31" t="s">
        <v>587</v>
      </c>
      <c r="C352" s="18" t="s">
        <v>984</v>
      </c>
      <c r="D352" s="18" t="s">
        <v>997</v>
      </c>
      <c r="E352" s="69" t="s">
        <v>998</v>
      </c>
      <c r="F352" s="8"/>
      <c r="G352" s="18" t="s">
        <v>62</v>
      </c>
      <c r="H352" s="18" t="s">
        <v>591</v>
      </c>
      <c r="I352" s="23">
        <v>1</v>
      </c>
      <c r="J352" s="8" t="s">
        <v>8</v>
      </c>
      <c r="K352" s="8" t="s">
        <v>2258</v>
      </c>
      <c r="L352" s="283" t="s">
        <v>2273</v>
      </c>
      <c r="M352" s="8"/>
      <c r="N352" s="8"/>
      <c r="O352" s="281" t="s">
        <v>2303</v>
      </c>
      <c r="P352" s="8"/>
      <c r="Q352" s="132"/>
      <c r="R352" s="38"/>
      <c r="S352" s="8"/>
      <c r="T352" s="8"/>
      <c r="U352" s="8"/>
      <c r="V352" s="8"/>
      <c r="W352" s="8"/>
      <c r="X352" s="8"/>
      <c r="Y352" s="8"/>
      <c r="Z352" s="8"/>
      <c r="AA352" s="8"/>
    </row>
    <row r="353" spans="1:27" ht="63">
      <c r="A353" s="8" t="s">
        <v>22</v>
      </c>
      <c r="B353" s="31" t="s">
        <v>587</v>
      </c>
      <c r="C353" s="18" t="s">
        <v>984</v>
      </c>
      <c r="D353" s="18" t="s">
        <v>999</v>
      </c>
      <c r="E353" s="69" t="s">
        <v>1000</v>
      </c>
      <c r="F353" s="8"/>
      <c r="G353" s="18" t="s">
        <v>62</v>
      </c>
      <c r="H353" s="18" t="s">
        <v>591</v>
      </c>
      <c r="I353" s="23">
        <v>1</v>
      </c>
      <c r="J353" s="8" t="s">
        <v>8</v>
      </c>
      <c r="K353" s="8" t="s">
        <v>2258</v>
      </c>
      <c r="L353" s="283" t="s">
        <v>2273</v>
      </c>
      <c r="M353" s="8"/>
      <c r="N353" s="8"/>
      <c r="O353" s="281" t="s">
        <v>2303</v>
      </c>
      <c r="P353" s="8"/>
      <c r="Q353" s="132"/>
      <c r="R353" s="38"/>
      <c r="S353" s="8"/>
      <c r="T353" s="8"/>
      <c r="U353" s="8"/>
      <c r="V353" s="8"/>
      <c r="W353" s="8"/>
      <c r="X353" s="8"/>
      <c r="Y353" s="8"/>
      <c r="Z353" s="8"/>
      <c r="AA353" s="8"/>
    </row>
    <row r="354" spans="1:27" ht="63">
      <c r="A354" s="8" t="s">
        <v>22</v>
      </c>
      <c r="B354" s="31" t="s">
        <v>587</v>
      </c>
      <c r="C354" s="18" t="s">
        <v>984</v>
      </c>
      <c r="D354" s="18" t="s">
        <v>1001</v>
      </c>
      <c r="E354" s="69" t="s">
        <v>1002</v>
      </c>
      <c r="F354" s="8"/>
      <c r="G354" s="18" t="s">
        <v>62</v>
      </c>
      <c r="H354" s="18" t="s">
        <v>591</v>
      </c>
      <c r="I354" s="23">
        <v>1</v>
      </c>
      <c r="J354" s="8" t="s">
        <v>8</v>
      </c>
      <c r="K354" s="8" t="s">
        <v>2258</v>
      </c>
      <c r="L354" s="283" t="s">
        <v>2273</v>
      </c>
      <c r="M354" s="8"/>
      <c r="N354" s="8"/>
      <c r="O354" s="281" t="s">
        <v>2303</v>
      </c>
      <c r="P354" s="8"/>
      <c r="Q354" s="132"/>
      <c r="R354" s="38"/>
      <c r="S354" s="8"/>
      <c r="T354" s="8"/>
      <c r="U354" s="8"/>
      <c r="V354" s="8"/>
      <c r="W354" s="8"/>
      <c r="X354" s="8"/>
      <c r="Y354" s="8"/>
      <c r="Z354" s="8"/>
      <c r="AA354" s="8"/>
    </row>
    <row r="355" spans="1:27" ht="63">
      <c r="A355" s="8" t="s">
        <v>22</v>
      </c>
      <c r="B355" s="31" t="s">
        <v>587</v>
      </c>
      <c r="C355" s="18" t="s">
        <v>984</v>
      </c>
      <c r="D355" s="18" t="s">
        <v>1003</v>
      </c>
      <c r="E355" s="69" t="s">
        <v>1004</v>
      </c>
      <c r="F355" s="8"/>
      <c r="G355" s="18" t="s">
        <v>62</v>
      </c>
      <c r="H355" s="18" t="s">
        <v>591</v>
      </c>
      <c r="I355" s="23">
        <v>1</v>
      </c>
      <c r="J355" s="8" t="s">
        <v>8</v>
      </c>
      <c r="K355" s="8" t="s">
        <v>2258</v>
      </c>
      <c r="L355" s="283" t="s">
        <v>2273</v>
      </c>
      <c r="M355" s="8"/>
      <c r="N355" s="8"/>
      <c r="O355" s="281" t="s">
        <v>2303</v>
      </c>
      <c r="P355" s="8"/>
      <c r="Q355" s="132"/>
      <c r="R355" s="38"/>
      <c r="S355" s="8"/>
      <c r="T355" s="8"/>
      <c r="U355" s="8"/>
      <c r="V355" s="8"/>
      <c r="W355" s="8"/>
      <c r="X355" s="8"/>
      <c r="Y355" s="8"/>
      <c r="Z355" s="8"/>
      <c r="AA355" s="8"/>
    </row>
    <row r="356" spans="1:27" ht="63">
      <c r="A356" s="8" t="s">
        <v>22</v>
      </c>
      <c r="B356" s="31" t="s">
        <v>587</v>
      </c>
      <c r="C356" s="18" t="s">
        <v>984</v>
      </c>
      <c r="D356" s="18" t="s">
        <v>1005</v>
      </c>
      <c r="E356" s="69" t="s">
        <v>1006</v>
      </c>
      <c r="F356" s="8"/>
      <c r="G356" s="18" t="s">
        <v>62</v>
      </c>
      <c r="H356" s="18" t="s">
        <v>591</v>
      </c>
      <c r="I356" s="23">
        <v>1</v>
      </c>
      <c r="J356" s="8" t="s">
        <v>8</v>
      </c>
      <c r="K356" s="8" t="s">
        <v>2258</v>
      </c>
      <c r="L356" s="283" t="s">
        <v>2273</v>
      </c>
      <c r="M356" s="8"/>
      <c r="N356" s="8"/>
      <c r="O356" s="281" t="s">
        <v>2303</v>
      </c>
      <c r="P356" s="8"/>
      <c r="Q356" s="132"/>
      <c r="R356" s="38"/>
      <c r="S356" s="8"/>
      <c r="T356" s="8"/>
      <c r="U356" s="8"/>
      <c r="V356" s="8"/>
      <c r="W356" s="8"/>
      <c r="X356" s="8"/>
      <c r="Y356" s="8"/>
      <c r="Z356" s="8"/>
      <c r="AA356" s="8"/>
    </row>
    <row r="357" spans="1:27" ht="63">
      <c r="A357" s="8" t="s">
        <v>22</v>
      </c>
      <c r="B357" s="31" t="s">
        <v>587</v>
      </c>
      <c r="C357" s="18" t="s">
        <v>984</v>
      </c>
      <c r="D357" s="18" t="s">
        <v>1007</v>
      </c>
      <c r="E357" s="69" t="s">
        <v>1008</v>
      </c>
      <c r="F357" s="8"/>
      <c r="G357" s="18" t="s">
        <v>62</v>
      </c>
      <c r="H357" s="18" t="s">
        <v>591</v>
      </c>
      <c r="I357" s="23">
        <v>1</v>
      </c>
      <c r="J357" s="8" t="s">
        <v>8</v>
      </c>
      <c r="K357" s="8" t="s">
        <v>2258</v>
      </c>
      <c r="L357" s="283" t="s">
        <v>2273</v>
      </c>
      <c r="M357" s="8"/>
      <c r="N357" s="8"/>
      <c r="O357" s="281" t="s">
        <v>2303</v>
      </c>
      <c r="P357" s="8"/>
      <c r="Q357" s="132"/>
      <c r="R357" s="38"/>
      <c r="S357" s="8"/>
      <c r="T357" s="8"/>
      <c r="U357" s="8"/>
      <c r="V357" s="8"/>
      <c r="W357" s="8"/>
      <c r="X357" s="8"/>
      <c r="Y357" s="8"/>
      <c r="Z357" s="8"/>
      <c r="AA357" s="8"/>
    </row>
    <row r="358" spans="1:27" ht="63">
      <c r="A358" s="8" t="s">
        <v>22</v>
      </c>
      <c r="B358" s="31" t="s">
        <v>587</v>
      </c>
      <c r="C358" s="18" t="s">
        <v>984</v>
      </c>
      <c r="D358" s="18" t="s">
        <v>1009</v>
      </c>
      <c r="E358" s="69" t="s">
        <v>1010</v>
      </c>
      <c r="F358" s="8"/>
      <c r="G358" s="18" t="s">
        <v>62</v>
      </c>
      <c r="H358" s="18" t="s">
        <v>591</v>
      </c>
      <c r="I358" s="23">
        <v>1</v>
      </c>
      <c r="J358" s="8" t="s">
        <v>8</v>
      </c>
      <c r="K358" s="8" t="s">
        <v>2258</v>
      </c>
      <c r="L358" s="283" t="s">
        <v>2273</v>
      </c>
      <c r="M358" s="8"/>
      <c r="N358" s="8"/>
      <c r="O358" s="281" t="s">
        <v>2303</v>
      </c>
      <c r="P358" s="8"/>
      <c r="Q358" s="132"/>
      <c r="R358" s="38"/>
      <c r="S358" s="8"/>
      <c r="T358" s="8"/>
      <c r="U358" s="8"/>
      <c r="V358" s="8"/>
      <c r="W358" s="8"/>
      <c r="X358" s="8"/>
      <c r="Y358" s="8"/>
      <c r="Z358" s="8"/>
      <c r="AA358" s="8"/>
    </row>
    <row r="359" spans="1:27" ht="63">
      <c r="A359" s="8" t="s">
        <v>22</v>
      </c>
      <c r="B359" s="31" t="s">
        <v>587</v>
      </c>
      <c r="C359" s="18" t="s">
        <v>984</v>
      </c>
      <c r="D359" s="18" t="s">
        <v>1011</v>
      </c>
      <c r="E359" s="69" t="s">
        <v>1012</v>
      </c>
      <c r="F359" s="8"/>
      <c r="G359" s="18" t="s">
        <v>62</v>
      </c>
      <c r="H359" s="18" t="s">
        <v>591</v>
      </c>
      <c r="I359" s="23">
        <v>1</v>
      </c>
      <c r="J359" s="8" t="s">
        <v>8</v>
      </c>
      <c r="K359" s="8" t="s">
        <v>2258</v>
      </c>
      <c r="L359" s="283" t="s">
        <v>2273</v>
      </c>
      <c r="M359" s="8"/>
      <c r="N359" s="8"/>
      <c r="O359" s="281" t="s">
        <v>2303</v>
      </c>
      <c r="P359" s="8"/>
      <c r="Q359" s="132"/>
      <c r="R359" s="38"/>
      <c r="S359" s="8"/>
      <c r="T359" s="8"/>
      <c r="U359" s="8"/>
      <c r="V359" s="8"/>
      <c r="W359" s="8"/>
      <c r="X359" s="8"/>
      <c r="Y359" s="8"/>
      <c r="Z359" s="8"/>
      <c r="AA359" s="8"/>
    </row>
    <row r="360" spans="1:27" ht="63">
      <c r="A360" s="8" t="s">
        <v>22</v>
      </c>
      <c r="B360" s="31" t="s">
        <v>587</v>
      </c>
      <c r="C360" s="18" t="s">
        <v>984</v>
      </c>
      <c r="D360" s="18" t="s">
        <v>1013</v>
      </c>
      <c r="E360" s="69" t="s">
        <v>1014</v>
      </c>
      <c r="F360" s="8"/>
      <c r="G360" s="18" t="s">
        <v>62</v>
      </c>
      <c r="H360" s="18" t="s">
        <v>591</v>
      </c>
      <c r="I360" s="23">
        <v>1</v>
      </c>
      <c r="J360" s="8" t="s">
        <v>8</v>
      </c>
      <c r="K360" s="8" t="s">
        <v>2258</v>
      </c>
      <c r="L360" s="283" t="s">
        <v>2273</v>
      </c>
      <c r="M360" s="8"/>
      <c r="N360" s="8"/>
      <c r="O360" s="281" t="s">
        <v>2303</v>
      </c>
      <c r="P360" s="8"/>
      <c r="Q360" s="132"/>
      <c r="R360" s="38"/>
      <c r="S360" s="8"/>
      <c r="T360" s="8"/>
      <c r="U360" s="8"/>
      <c r="V360" s="8"/>
      <c r="W360" s="8"/>
      <c r="X360" s="8"/>
      <c r="Y360" s="8"/>
      <c r="Z360" s="8"/>
      <c r="AA360" s="8"/>
    </row>
    <row r="361" spans="1:27" ht="63">
      <c r="A361" s="8" t="s">
        <v>22</v>
      </c>
      <c r="B361" s="31" t="s">
        <v>587</v>
      </c>
      <c r="C361" s="18" t="s">
        <v>984</v>
      </c>
      <c r="D361" s="18" t="s">
        <v>1015</v>
      </c>
      <c r="E361" s="69" t="s">
        <v>1016</v>
      </c>
      <c r="F361" s="8"/>
      <c r="G361" s="18" t="s">
        <v>62</v>
      </c>
      <c r="H361" s="18" t="s">
        <v>591</v>
      </c>
      <c r="I361" s="23">
        <v>1</v>
      </c>
      <c r="J361" s="8" t="s">
        <v>8</v>
      </c>
      <c r="K361" s="8" t="s">
        <v>2258</v>
      </c>
      <c r="L361" s="283" t="s">
        <v>2273</v>
      </c>
      <c r="M361" s="8"/>
      <c r="N361" s="8"/>
      <c r="O361" s="281" t="s">
        <v>2303</v>
      </c>
      <c r="P361" s="8"/>
      <c r="Q361" s="132"/>
      <c r="R361" s="38"/>
      <c r="S361" s="8"/>
      <c r="T361" s="8"/>
      <c r="U361" s="8"/>
      <c r="V361" s="8"/>
      <c r="W361" s="8"/>
      <c r="X361" s="8"/>
      <c r="Y361" s="8"/>
      <c r="Z361" s="8"/>
      <c r="AA361" s="8"/>
    </row>
    <row r="362" spans="1:27" ht="63">
      <c r="A362" s="8" t="s">
        <v>22</v>
      </c>
      <c r="B362" s="31" t="s">
        <v>587</v>
      </c>
      <c r="C362" s="18" t="s">
        <v>984</v>
      </c>
      <c r="D362" s="18" t="s">
        <v>1017</v>
      </c>
      <c r="E362" s="69" t="s">
        <v>1018</v>
      </c>
      <c r="F362" s="8"/>
      <c r="G362" s="18" t="s">
        <v>62</v>
      </c>
      <c r="H362" s="18" t="s">
        <v>591</v>
      </c>
      <c r="I362" s="23">
        <v>1</v>
      </c>
      <c r="J362" s="8" t="s">
        <v>8</v>
      </c>
      <c r="K362" s="8" t="s">
        <v>2258</v>
      </c>
      <c r="L362" s="283" t="s">
        <v>2273</v>
      </c>
      <c r="M362" s="8"/>
      <c r="N362" s="8"/>
      <c r="O362" s="281" t="s">
        <v>2303</v>
      </c>
      <c r="P362" s="8"/>
      <c r="Q362" s="132"/>
      <c r="R362" s="38"/>
      <c r="S362" s="8"/>
      <c r="T362" s="8"/>
      <c r="U362" s="8"/>
      <c r="V362" s="8"/>
      <c r="W362" s="8"/>
      <c r="X362" s="8"/>
      <c r="Y362" s="8"/>
      <c r="Z362" s="8"/>
      <c r="AA362" s="8"/>
    </row>
    <row r="363" spans="1:27" ht="63">
      <c r="A363" s="8" t="s">
        <v>22</v>
      </c>
      <c r="B363" s="31" t="s">
        <v>587</v>
      </c>
      <c r="C363" s="18" t="s">
        <v>984</v>
      </c>
      <c r="D363" s="18" t="s">
        <v>1019</v>
      </c>
      <c r="E363" s="69" t="s">
        <v>1020</v>
      </c>
      <c r="F363" s="8"/>
      <c r="G363" s="18" t="s">
        <v>62</v>
      </c>
      <c r="H363" s="18" t="s">
        <v>591</v>
      </c>
      <c r="I363" s="23">
        <v>1</v>
      </c>
      <c r="J363" s="8" t="s">
        <v>8</v>
      </c>
      <c r="K363" s="8" t="s">
        <v>2258</v>
      </c>
      <c r="L363" s="283" t="s">
        <v>2273</v>
      </c>
      <c r="M363" s="8"/>
      <c r="N363" s="8"/>
      <c r="O363" s="281" t="s">
        <v>2303</v>
      </c>
      <c r="P363" s="8"/>
      <c r="Q363" s="132"/>
      <c r="R363" s="38"/>
      <c r="S363" s="8"/>
      <c r="T363" s="8"/>
      <c r="U363" s="8"/>
      <c r="V363" s="8"/>
      <c r="W363" s="8"/>
      <c r="X363" s="8"/>
      <c r="Y363" s="8"/>
      <c r="Z363" s="8"/>
      <c r="AA363" s="8"/>
    </row>
    <row r="364" spans="1:27" ht="63">
      <c r="A364" s="8" t="s">
        <v>22</v>
      </c>
      <c r="B364" s="31" t="s">
        <v>587</v>
      </c>
      <c r="C364" s="18" t="s">
        <v>984</v>
      </c>
      <c r="D364" s="18" t="s">
        <v>1021</v>
      </c>
      <c r="E364" s="69" t="s">
        <v>1022</v>
      </c>
      <c r="F364" s="8"/>
      <c r="G364" s="18" t="s">
        <v>62</v>
      </c>
      <c r="H364" s="18" t="s">
        <v>591</v>
      </c>
      <c r="I364" s="23">
        <v>1</v>
      </c>
      <c r="J364" s="8" t="s">
        <v>8</v>
      </c>
      <c r="K364" s="8" t="s">
        <v>2258</v>
      </c>
      <c r="L364" s="283" t="s">
        <v>2273</v>
      </c>
      <c r="M364" s="8"/>
      <c r="N364" s="8"/>
      <c r="O364" s="281" t="s">
        <v>2303</v>
      </c>
      <c r="P364" s="8"/>
      <c r="Q364" s="132"/>
      <c r="R364" s="38"/>
      <c r="S364" s="8"/>
      <c r="T364" s="8"/>
      <c r="U364" s="8"/>
      <c r="V364" s="8"/>
      <c r="W364" s="8"/>
      <c r="X364" s="8"/>
      <c r="Y364" s="8"/>
      <c r="Z364" s="8"/>
      <c r="AA364" s="8"/>
    </row>
    <row r="365" spans="1:27" ht="63">
      <c r="A365" s="8" t="s">
        <v>22</v>
      </c>
      <c r="B365" s="31" t="s">
        <v>587</v>
      </c>
      <c r="C365" s="18" t="s">
        <v>984</v>
      </c>
      <c r="D365" s="18" t="s">
        <v>1023</v>
      </c>
      <c r="E365" s="69" t="s">
        <v>1024</v>
      </c>
      <c r="F365" s="8"/>
      <c r="G365" s="18" t="s">
        <v>62</v>
      </c>
      <c r="H365" s="18" t="s">
        <v>591</v>
      </c>
      <c r="I365" s="23">
        <v>1</v>
      </c>
      <c r="J365" s="8" t="s">
        <v>8</v>
      </c>
      <c r="K365" s="8" t="s">
        <v>2258</v>
      </c>
      <c r="L365" s="283" t="s">
        <v>2273</v>
      </c>
      <c r="M365" s="8"/>
      <c r="N365" s="8"/>
      <c r="O365" s="281" t="s">
        <v>2303</v>
      </c>
      <c r="P365" s="8"/>
      <c r="Q365" s="132"/>
      <c r="R365" s="38"/>
      <c r="S365" s="8"/>
      <c r="T365" s="8"/>
      <c r="U365" s="8"/>
      <c r="V365" s="8"/>
      <c r="W365" s="8"/>
      <c r="X365" s="8"/>
      <c r="Y365" s="8"/>
      <c r="Z365" s="8"/>
      <c r="AA365" s="8"/>
    </row>
    <row r="366" spans="1:27" ht="63">
      <c r="A366" s="8" t="s">
        <v>22</v>
      </c>
      <c r="B366" s="31" t="s">
        <v>587</v>
      </c>
      <c r="C366" s="18" t="s">
        <v>984</v>
      </c>
      <c r="D366" s="18" t="s">
        <v>1025</v>
      </c>
      <c r="E366" s="69" t="s">
        <v>1026</v>
      </c>
      <c r="F366" s="8"/>
      <c r="G366" s="18" t="s">
        <v>62</v>
      </c>
      <c r="H366" s="18" t="s">
        <v>591</v>
      </c>
      <c r="I366" s="23">
        <v>1</v>
      </c>
      <c r="J366" s="8" t="s">
        <v>8</v>
      </c>
      <c r="K366" s="8" t="s">
        <v>2258</v>
      </c>
      <c r="L366" s="283" t="s">
        <v>2273</v>
      </c>
      <c r="M366" s="8"/>
      <c r="N366" s="8"/>
      <c r="O366" s="281" t="s">
        <v>2303</v>
      </c>
      <c r="P366" s="8"/>
      <c r="Q366" s="132"/>
      <c r="R366" s="38"/>
      <c r="S366" s="8"/>
      <c r="T366" s="8"/>
      <c r="U366" s="8"/>
      <c r="V366" s="8"/>
      <c r="W366" s="8"/>
      <c r="X366" s="8"/>
      <c r="Y366" s="8"/>
      <c r="Z366" s="8"/>
      <c r="AA366" s="8"/>
    </row>
    <row r="367" spans="1:27" ht="63">
      <c r="A367" s="8" t="s">
        <v>22</v>
      </c>
      <c r="B367" s="31" t="s">
        <v>587</v>
      </c>
      <c r="C367" s="18" t="s">
        <v>984</v>
      </c>
      <c r="D367" s="18" t="s">
        <v>1027</v>
      </c>
      <c r="E367" s="69" t="s">
        <v>1028</v>
      </c>
      <c r="F367" s="8"/>
      <c r="G367" s="18" t="s">
        <v>62</v>
      </c>
      <c r="H367" s="18" t="s">
        <v>591</v>
      </c>
      <c r="I367" s="23">
        <v>1</v>
      </c>
      <c r="J367" s="8" t="s">
        <v>8</v>
      </c>
      <c r="K367" s="8" t="s">
        <v>2258</v>
      </c>
      <c r="L367" s="283" t="s">
        <v>2273</v>
      </c>
      <c r="M367" s="8"/>
      <c r="N367" s="8"/>
      <c r="O367" s="281" t="s">
        <v>2303</v>
      </c>
      <c r="P367" s="8"/>
      <c r="Q367" s="132"/>
      <c r="R367" s="38"/>
      <c r="S367" s="8"/>
      <c r="T367" s="8"/>
      <c r="U367" s="8"/>
      <c r="V367" s="8"/>
      <c r="W367" s="8"/>
      <c r="X367" s="8"/>
      <c r="Y367" s="8"/>
      <c r="Z367" s="8"/>
      <c r="AA367" s="8"/>
    </row>
    <row r="368" spans="1:27" ht="63">
      <c r="A368" s="8" t="s">
        <v>22</v>
      </c>
      <c r="B368" s="31" t="s">
        <v>587</v>
      </c>
      <c r="C368" s="18" t="s">
        <v>984</v>
      </c>
      <c r="D368" s="18" t="s">
        <v>1029</v>
      </c>
      <c r="E368" s="69" t="s">
        <v>1030</v>
      </c>
      <c r="F368" s="8"/>
      <c r="G368" s="18" t="s">
        <v>62</v>
      </c>
      <c r="H368" s="18" t="s">
        <v>591</v>
      </c>
      <c r="I368" s="23">
        <v>1</v>
      </c>
      <c r="J368" s="8" t="s">
        <v>8</v>
      </c>
      <c r="K368" s="8" t="s">
        <v>2258</v>
      </c>
      <c r="L368" s="283" t="s">
        <v>2273</v>
      </c>
      <c r="M368" s="8"/>
      <c r="N368" s="8"/>
      <c r="O368" s="281" t="s">
        <v>2303</v>
      </c>
      <c r="P368" s="8"/>
      <c r="Q368" s="132"/>
      <c r="R368" s="38"/>
      <c r="S368" s="8"/>
      <c r="T368" s="8"/>
      <c r="U368" s="8"/>
      <c r="V368" s="8"/>
      <c r="W368" s="8"/>
      <c r="X368" s="8"/>
      <c r="Y368" s="8"/>
      <c r="Z368" s="8"/>
      <c r="AA368" s="8"/>
    </row>
    <row r="369" spans="1:27" ht="63">
      <c r="A369" s="8" t="s">
        <v>22</v>
      </c>
      <c r="B369" s="31" t="s">
        <v>587</v>
      </c>
      <c r="C369" s="18" t="s">
        <v>984</v>
      </c>
      <c r="D369" s="18" t="s">
        <v>1031</v>
      </c>
      <c r="E369" s="69" t="s">
        <v>1032</v>
      </c>
      <c r="F369" s="8"/>
      <c r="G369" s="18" t="s">
        <v>62</v>
      </c>
      <c r="H369" s="18" t="s">
        <v>591</v>
      </c>
      <c r="I369" s="23">
        <v>1</v>
      </c>
      <c r="J369" s="8" t="s">
        <v>8</v>
      </c>
      <c r="K369" s="8" t="s">
        <v>2258</v>
      </c>
      <c r="L369" s="283" t="s">
        <v>2273</v>
      </c>
      <c r="M369" s="8"/>
      <c r="N369" s="8"/>
      <c r="O369" s="281" t="s">
        <v>2303</v>
      </c>
      <c r="P369" s="8"/>
      <c r="Q369" s="132"/>
      <c r="R369" s="38"/>
      <c r="S369" s="8"/>
      <c r="T369" s="8"/>
      <c r="U369" s="8"/>
      <c r="V369" s="8"/>
      <c r="W369" s="8"/>
      <c r="X369" s="8"/>
      <c r="Y369" s="8"/>
      <c r="Z369" s="8"/>
      <c r="AA369" s="8"/>
    </row>
    <row r="370" spans="1:27" ht="63">
      <c r="A370" s="8" t="s">
        <v>22</v>
      </c>
      <c r="B370" s="31" t="s">
        <v>587</v>
      </c>
      <c r="C370" s="18" t="s">
        <v>984</v>
      </c>
      <c r="D370" s="18" t="s">
        <v>1033</v>
      </c>
      <c r="E370" s="69" t="s">
        <v>1034</v>
      </c>
      <c r="F370" s="8"/>
      <c r="G370" s="18" t="s">
        <v>62</v>
      </c>
      <c r="H370" s="18" t="s">
        <v>591</v>
      </c>
      <c r="I370" s="23">
        <v>1</v>
      </c>
      <c r="J370" s="8" t="s">
        <v>8</v>
      </c>
      <c r="K370" s="8" t="s">
        <v>2258</v>
      </c>
      <c r="L370" s="283" t="s">
        <v>2273</v>
      </c>
      <c r="M370" s="8"/>
      <c r="N370" s="8"/>
      <c r="O370" s="281" t="s">
        <v>2303</v>
      </c>
      <c r="P370" s="8"/>
      <c r="Q370" s="132"/>
      <c r="R370" s="38"/>
      <c r="S370" s="8"/>
      <c r="T370" s="8"/>
      <c r="U370" s="8"/>
      <c r="V370" s="8"/>
      <c r="W370" s="8"/>
      <c r="X370" s="8"/>
      <c r="Y370" s="8"/>
      <c r="Z370" s="8"/>
      <c r="AA370" s="8"/>
    </row>
    <row r="371" spans="1:27" ht="63">
      <c r="A371" s="8" t="s">
        <v>22</v>
      </c>
      <c r="B371" s="31" t="s">
        <v>587</v>
      </c>
      <c r="C371" s="18" t="s">
        <v>984</v>
      </c>
      <c r="D371" s="18" t="s">
        <v>1035</v>
      </c>
      <c r="E371" s="69" t="s">
        <v>1036</v>
      </c>
      <c r="F371" s="8"/>
      <c r="G371" s="18" t="s">
        <v>62</v>
      </c>
      <c r="H371" s="18" t="s">
        <v>591</v>
      </c>
      <c r="I371" s="23">
        <v>1</v>
      </c>
      <c r="J371" s="8" t="s">
        <v>8</v>
      </c>
      <c r="K371" s="8" t="s">
        <v>2258</v>
      </c>
      <c r="L371" s="283" t="s">
        <v>2273</v>
      </c>
      <c r="M371" s="8"/>
      <c r="N371" s="8"/>
      <c r="O371" s="281" t="s">
        <v>2303</v>
      </c>
      <c r="P371" s="8"/>
      <c r="Q371" s="132"/>
      <c r="R371" s="38"/>
      <c r="S371" s="8"/>
      <c r="T371" s="8"/>
      <c r="U371" s="8"/>
      <c r="V371" s="8"/>
      <c r="W371" s="8"/>
      <c r="X371" s="8"/>
      <c r="Y371" s="8"/>
      <c r="Z371" s="8"/>
      <c r="AA371" s="8"/>
    </row>
    <row r="372" spans="1:27" ht="63">
      <c r="A372" s="8" t="s">
        <v>22</v>
      </c>
      <c r="B372" s="31" t="s">
        <v>587</v>
      </c>
      <c r="C372" s="18" t="s">
        <v>984</v>
      </c>
      <c r="D372" s="18" t="s">
        <v>1037</v>
      </c>
      <c r="E372" s="69" t="s">
        <v>1038</v>
      </c>
      <c r="F372" s="8"/>
      <c r="G372" s="18" t="s">
        <v>62</v>
      </c>
      <c r="H372" s="18" t="s">
        <v>591</v>
      </c>
      <c r="I372" s="23">
        <v>1</v>
      </c>
      <c r="J372" s="8" t="s">
        <v>8</v>
      </c>
      <c r="K372" s="8" t="s">
        <v>2258</v>
      </c>
      <c r="L372" s="283" t="s">
        <v>2273</v>
      </c>
      <c r="M372" s="8"/>
      <c r="N372" s="8"/>
      <c r="O372" s="281" t="s">
        <v>2303</v>
      </c>
      <c r="P372" s="8"/>
      <c r="Q372" s="132"/>
      <c r="R372" s="38"/>
      <c r="S372" s="8"/>
      <c r="T372" s="8"/>
      <c r="U372" s="8"/>
      <c r="V372" s="8"/>
      <c r="W372" s="8"/>
      <c r="X372" s="8"/>
      <c r="Y372" s="8"/>
      <c r="Z372" s="8"/>
      <c r="AA372" s="8"/>
    </row>
    <row r="373" spans="1:27" ht="63">
      <c r="A373" s="8" t="s">
        <v>22</v>
      </c>
      <c r="B373" s="31" t="s">
        <v>587</v>
      </c>
      <c r="C373" s="18" t="s">
        <v>984</v>
      </c>
      <c r="D373" s="18" t="s">
        <v>1039</v>
      </c>
      <c r="E373" s="69" t="s">
        <v>1040</v>
      </c>
      <c r="F373" s="8"/>
      <c r="G373" s="18" t="s">
        <v>62</v>
      </c>
      <c r="H373" s="18" t="s">
        <v>591</v>
      </c>
      <c r="I373" s="23">
        <v>1</v>
      </c>
      <c r="J373" s="8" t="s">
        <v>8</v>
      </c>
      <c r="K373" s="8" t="s">
        <v>2258</v>
      </c>
      <c r="L373" s="283" t="s">
        <v>2273</v>
      </c>
      <c r="M373" s="8"/>
      <c r="N373" s="8"/>
      <c r="O373" s="281" t="s">
        <v>2303</v>
      </c>
      <c r="P373" s="8"/>
      <c r="Q373" s="132"/>
      <c r="R373" s="38"/>
      <c r="S373" s="8"/>
      <c r="T373" s="8"/>
      <c r="U373" s="8"/>
      <c r="V373" s="8"/>
      <c r="W373" s="8"/>
      <c r="X373" s="8"/>
      <c r="Y373" s="8"/>
      <c r="Z373" s="8"/>
      <c r="AA373" s="8"/>
    </row>
    <row r="374" spans="1:27" ht="63">
      <c r="A374" s="8" t="s">
        <v>22</v>
      </c>
      <c r="B374" s="31" t="s">
        <v>587</v>
      </c>
      <c r="C374" s="18" t="s">
        <v>984</v>
      </c>
      <c r="D374" s="18" t="s">
        <v>1041</v>
      </c>
      <c r="E374" s="69" t="s">
        <v>1042</v>
      </c>
      <c r="F374" s="8"/>
      <c r="G374" s="18" t="s">
        <v>62</v>
      </c>
      <c r="H374" s="18" t="s">
        <v>591</v>
      </c>
      <c r="I374" s="23">
        <v>1</v>
      </c>
      <c r="J374" s="8" t="s">
        <v>8</v>
      </c>
      <c r="K374" s="8" t="s">
        <v>2258</v>
      </c>
      <c r="L374" s="283" t="s">
        <v>2273</v>
      </c>
      <c r="M374" s="8"/>
      <c r="N374" s="8"/>
      <c r="O374" s="281" t="s">
        <v>2303</v>
      </c>
      <c r="P374" s="8"/>
      <c r="Q374" s="132"/>
      <c r="R374" s="38"/>
      <c r="S374" s="8"/>
      <c r="T374" s="8"/>
      <c r="U374" s="8"/>
      <c r="V374" s="8"/>
      <c r="W374" s="8"/>
      <c r="X374" s="8"/>
      <c r="Y374" s="8"/>
      <c r="Z374" s="8"/>
      <c r="AA374" s="8"/>
    </row>
    <row r="375" spans="1:27" ht="63">
      <c r="A375" s="8" t="s">
        <v>22</v>
      </c>
      <c r="B375" s="31" t="s">
        <v>587</v>
      </c>
      <c r="C375" s="18" t="s">
        <v>984</v>
      </c>
      <c r="D375" s="18" t="s">
        <v>1043</v>
      </c>
      <c r="E375" s="69" t="s">
        <v>1044</v>
      </c>
      <c r="F375" s="8"/>
      <c r="G375" s="18" t="s">
        <v>62</v>
      </c>
      <c r="H375" s="18" t="s">
        <v>591</v>
      </c>
      <c r="I375" s="23">
        <v>1</v>
      </c>
      <c r="J375" s="8" t="s">
        <v>8</v>
      </c>
      <c r="K375" s="8" t="s">
        <v>2258</v>
      </c>
      <c r="L375" s="283" t="s">
        <v>2273</v>
      </c>
      <c r="M375" s="8"/>
      <c r="N375" s="8"/>
      <c r="O375" s="281" t="s">
        <v>2303</v>
      </c>
      <c r="P375" s="8"/>
      <c r="Q375" s="132"/>
      <c r="R375" s="38"/>
      <c r="S375" s="8"/>
      <c r="T375" s="8"/>
      <c r="U375" s="8"/>
      <c r="V375" s="8"/>
      <c r="W375" s="8"/>
      <c r="X375" s="8"/>
      <c r="Y375" s="8"/>
      <c r="Z375" s="8"/>
      <c r="AA375" s="8"/>
    </row>
    <row r="376" spans="1:27" ht="63">
      <c r="A376" s="8" t="s">
        <v>22</v>
      </c>
      <c r="B376" s="31" t="s">
        <v>587</v>
      </c>
      <c r="C376" s="18" t="s">
        <v>1045</v>
      </c>
      <c r="D376" s="18" t="s">
        <v>1046</v>
      </c>
      <c r="E376" s="18" t="s">
        <v>1047</v>
      </c>
      <c r="F376" s="20"/>
      <c r="G376" s="24" t="s">
        <v>62</v>
      </c>
      <c r="H376" s="20"/>
      <c r="I376" s="20"/>
      <c r="J376" s="20"/>
      <c r="K376" s="20"/>
      <c r="L376" s="278"/>
      <c r="M376" s="20"/>
      <c r="N376" s="20"/>
      <c r="O376" s="279"/>
      <c r="P376" s="20"/>
      <c r="Q376" s="132"/>
      <c r="R376" s="39"/>
      <c r="S376" s="20"/>
      <c r="T376" s="20"/>
      <c r="U376" s="20"/>
      <c r="V376" s="20"/>
      <c r="W376" s="20"/>
      <c r="X376" s="20"/>
      <c r="Y376" s="20"/>
      <c r="Z376" s="20"/>
      <c r="AA376" s="8"/>
    </row>
    <row r="377" spans="1:27" ht="110.25">
      <c r="A377" s="8" t="s">
        <v>22</v>
      </c>
      <c r="B377" s="31" t="s">
        <v>587</v>
      </c>
      <c r="C377" s="18" t="s">
        <v>1045</v>
      </c>
      <c r="D377" s="18" t="s">
        <v>1048</v>
      </c>
      <c r="E377" s="69" t="s">
        <v>1049</v>
      </c>
      <c r="F377" s="8" t="s">
        <v>2259</v>
      </c>
      <c r="G377" s="18" t="s">
        <v>62</v>
      </c>
      <c r="H377" s="18" t="s">
        <v>735</v>
      </c>
      <c r="I377" s="23">
        <v>1</v>
      </c>
      <c r="J377" s="8" t="s">
        <v>8</v>
      </c>
      <c r="K377" s="8" t="s">
        <v>2561</v>
      </c>
      <c r="L377" s="283" t="s">
        <v>2273</v>
      </c>
      <c r="M377" s="8"/>
      <c r="N377" s="8"/>
      <c r="O377" s="281" t="s">
        <v>2303</v>
      </c>
      <c r="P377" s="8" t="s">
        <v>2572</v>
      </c>
      <c r="Q377" s="132"/>
      <c r="R377" s="38"/>
      <c r="S377" s="8"/>
      <c r="T377" s="8"/>
      <c r="U377" s="8"/>
      <c r="V377" s="8"/>
      <c r="W377" s="8"/>
      <c r="X377" s="8"/>
      <c r="Y377" s="8"/>
      <c r="Z377" s="8"/>
      <c r="AA377" s="8"/>
    </row>
    <row r="378" spans="1:27" ht="63">
      <c r="A378" s="8" t="s">
        <v>22</v>
      </c>
      <c r="B378" s="31" t="s">
        <v>587</v>
      </c>
      <c r="C378" s="18" t="s">
        <v>1045</v>
      </c>
      <c r="D378" s="18" t="s">
        <v>1050</v>
      </c>
      <c r="E378" s="69" t="s">
        <v>1051</v>
      </c>
      <c r="F378" s="8"/>
      <c r="G378" s="18" t="s">
        <v>62</v>
      </c>
      <c r="H378" s="18" t="s">
        <v>428</v>
      </c>
      <c r="I378" s="23">
        <v>0.5</v>
      </c>
      <c r="J378" s="8" t="s">
        <v>8</v>
      </c>
      <c r="K378" s="8" t="s">
        <v>2258</v>
      </c>
      <c r="L378" s="283" t="s">
        <v>2273</v>
      </c>
      <c r="M378" s="8"/>
      <c r="N378" s="8"/>
      <c r="O378" s="281" t="s">
        <v>2303</v>
      </c>
      <c r="P378" s="8"/>
      <c r="Q378" s="132"/>
      <c r="R378" s="38"/>
      <c r="S378" s="8"/>
      <c r="T378" s="8"/>
      <c r="U378" s="8"/>
      <c r="V378" s="8"/>
      <c r="W378" s="8"/>
      <c r="X378" s="8"/>
      <c r="Y378" s="8"/>
      <c r="Z378" s="8"/>
      <c r="AA378" s="8"/>
    </row>
    <row r="379" spans="1:27" ht="99" customHeight="1">
      <c r="A379" s="8" t="s">
        <v>22</v>
      </c>
      <c r="B379" s="31" t="s">
        <v>587</v>
      </c>
      <c r="C379" s="18" t="s">
        <v>1052</v>
      </c>
      <c r="D379" s="18" t="s">
        <v>1053</v>
      </c>
      <c r="E379" s="18" t="s">
        <v>1054</v>
      </c>
      <c r="F379" s="8"/>
      <c r="G379" s="18" t="s">
        <v>58</v>
      </c>
      <c r="H379" s="18" t="s">
        <v>623</v>
      </c>
      <c r="I379" s="23">
        <v>0.5</v>
      </c>
      <c r="J379" s="8" t="s">
        <v>8</v>
      </c>
      <c r="K379" s="8" t="s">
        <v>2258</v>
      </c>
      <c r="L379" s="283" t="s">
        <v>2273</v>
      </c>
      <c r="M379" s="8"/>
      <c r="N379" s="8"/>
      <c r="O379" s="281" t="s">
        <v>2303</v>
      </c>
      <c r="P379" s="8"/>
      <c r="Q379" s="132"/>
      <c r="R379" s="38"/>
      <c r="S379" s="8"/>
      <c r="T379" s="8"/>
      <c r="U379" s="8"/>
      <c r="V379" s="8"/>
      <c r="W379" s="8"/>
      <c r="X379" s="8"/>
      <c r="Y379" s="8"/>
      <c r="Z379" s="8"/>
      <c r="AA379" s="8"/>
    </row>
    <row r="380" spans="1:27" ht="39.6" customHeight="1">
      <c r="A380" s="8" t="s">
        <v>22</v>
      </c>
      <c r="B380" s="31" t="s">
        <v>587</v>
      </c>
      <c r="C380" s="18" t="s">
        <v>1052</v>
      </c>
      <c r="D380" s="18" t="s">
        <v>1055</v>
      </c>
      <c r="E380" s="18" t="s">
        <v>1056</v>
      </c>
      <c r="F380" s="8"/>
      <c r="G380" s="18" t="s">
        <v>62</v>
      </c>
      <c r="H380" s="18" t="s">
        <v>1057</v>
      </c>
      <c r="I380" s="18" t="s">
        <v>221</v>
      </c>
      <c r="J380" s="8" t="s">
        <v>8</v>
      </c>
      <c r="K380" s="8" t="s">
        <v>2258</v>
      </c>
      <c r="L380" s="283" t="s">
        <v>2273</v>
      </c>
      <c r="M380" s="8"/>
      <c r="N380" s="8"/>
      <c r="O380" s="281" t="s">
        <v>2303</v>
      </c>
      <c r="P380" s="8" t="s">
        <v>2573</v>
      </c>
      <c r="Q380" s="132"/>
      <c r="R380" s="38"/>
      <c r="S380" s="8"/>
      <c r="T380" s="8"/>
      <c r="U380" s="8"/>
      <c r="V380" s="8"/>
      <c r="W380" s="8"/>
      <c r="X380" s="8"/>
      <c r="Y380" s="8"/>
      <c r="Z380" s="8"/>
      <c r="AA380" s="8"/>
    </row>
    <row r="381" spans="1:27" ht="63" customHeight="1">
      <c r="A381" s="8" t="s">
        <v>22</v>
      </c>
      <c r="B381" s="31" t="s">
        <v>587</v>
      </c>
      <c r="C381" s="18" t="s">
        <v>1058</v>
      </c>
      <c r="D381" s="18" t="s">
        <v>1059</v>
      </c>
      <c r="E381" s="18" t="s">
        <v>1060</v>
      </c>
      <c r="F381" s="8"/>
      <c r="G381" s="18" t="s">
        <v>62</v>
      </c>
      <c r="H381" s="18" t="s">
        <v>1061</v>
      </c>
      <c r="I381" s="23">
        <v>0.5</v>
      </c>
      <c r="J381" s="8" t="s">
        <v>8</v>
      </c>
      <c r="K381" s="8" t="s">
        <v>2258</v>
      </c>
      <c r="L381" s="283" t="s">
        <v>2273</v>
      </c>
      <c r="M381" s="8"/>
      <c r="N381" s="8"/>
      <c r="O381" s="281" t="s">
        <v>2303</v>
      </c>
      <c r="P381" s="8"/>
      <c r="Q381" s="132"/>
      <c r="R381" s="38"/>
      <c r="S381" s="8"/>
      <c r="T381" s="8"/>
      <c r="U381" s="8"/>
      <c r="V381" s="8"/>
      <c r="W381" s="8"/>
      <c r="X381" s="8"/>
      <c r="Y381" s="8"/>
      <c r="Z381" s="8"/>
      <c r="AA381" s="8"/>
    </row>
    <row r="382" spans="1:27">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c r="A383" s="8" t="s">
        <v>24</v>
      </c>
      <c r="B383" s="31" t="s">
        <v>54</v>
      </c>
      <c r="C383" s="18" t="s">
        <v>1063</v>
      </c>
      <c r="D383" s="18" t="s">
        <v>1064</v>
      </c>
      <c r="E383" s="18" t="s">
        <v>1065</v>
      </c>
      <c r="F383" s="8" t="s">
        <v>2253</v>
      </c>
      <c r="G383" s="18" t="s">
        <v>62</v>
      </c>
      <c r="H383" s="18" t="s">
        <v>1066</v>
      </c>
      <c r="I383" s="18" t="s">
        <v>1067</v>
      </c>
      <c r="J383" s="8" t="s">
        <v>1191</v>
      </c>
      <c r="K383" s="8" t="s">
        <v>2574</v>
      </c>
      <c r="L383" s="283" t="s">
        <v>2273</v>
      </c>
      <c r="M383" s="8" t="s">
        <v>9</v>
      </c>
      <c r="N383" s="8"/>
      <c r="O383" s="281">
        <v>18000</v>
      </c>
      <c r="P383" s="8" t="s">
        <v>2575</v>
      </c>
      <c r="Q383" s="132"/>
      <c r="R383" s="38"/>
      <c r="S383" s="8"/>
      <c r="T383" s="8"/>
      <c r="U383" s="8"/>
      <c r="V383" s="8"/>
      <c r="W383" s="8"/>
      <c r="X383" s="8"/>
      <c r="Y383" s="8"/>
      <c r="Z383" s="8"/>
      <c r="AA383" s="8"/>
    </row>
    <row r="384" spans="1:27" ht="204.75">
      <c r="A384" s="8" t="s">
        <v>24</v>
      </c>
      <c r="B384" s="31" t="s">
        <v>54</v>
      </c>
      <c r="C384" s="18" t="s">
        <v>1068</v>
      </c>
      <c r="D384" s="18" t="s">
        <v>1069</v>
      </c>
      <c r="E384" s="18" t="s">
        <v>1070</v>
      </c>
      <c r="F384" s="8" t="s">
        <v>2259</v>
      </c>
      <c r="G384" s="18" t="s">
        <v>62</v>
      </c>
      <c r="H384" s="18" t="s">
        <v>1071</v>
      </c>
      <c r="I384" s="18" t="s">
        <v>1072</v>
      </c>
      <c r="J384" s="8" t="s">
        <v>8</v>
      </c>
      <c r="K384" s="8" t="s">
        <v>2576</v>
      </c>
      <c r="L384" s="283" t="s">
        <v>2273</v>
      </c>
      <c r="M384" s="8" t="s">
        <v>10</v>
      </c>
      <c r="N384" s="8"/>
      <c r="O384" s="281"/>
      <c r="P384" s="8" t="s">
        <v>2577</v>
      </c>
      <c r="Q384" s="132"/>
      <c r="R384" s="38"/>
      <c r="S384" s="8"/>
      <c r="T384" s="8"/>
      <c r="U384" s="8"/>
      <c r="V384" s="8"/>
      <c r="W384" s="8"/>
      <c r="X384" s="8"/>
      <c r="Y384" s="8"/>
      <c r="Z384" s="8"/>
      <c r="AA384" s="8"/>
    </row>
    <row r="385" spans="1:51" ht="80.45" customHeight="1">
      <c r="A385" s="8" t="s">
        <v>24</v>
      </c>
      <c r="B385" s="31" t="s">
        <v>54</v>
      </c>
      <c r="C385" s="18" t="s">
        <v>1068</v>
      </c>
      <c r="D385" s="18" t="s">
        <v>1073</v>
      </c>
      <c r="E385" s="18" t="s">
        <v>1074</v>
      </c>
      <c r="F385" s="8"/>
      <c r="G385" s="18" t="s">
        <v>62</v>
      </c>
      <c r="H385" s="18" t="s">
        <v>182</v>
      </c>
      <c r="I385" s="23">
        <v>1</v>
      </c>
      <c r="J385" s="8" t="s">
        <v>8</v>
      </c>
      <c r="K385" s="8" t="s">
        <v>2578</v>
      </c>
      <c r="L385" s="283" t="s">
        <v>2273</v>
      </c>
      <c r="M385" s="8"/>
      <c r="N385" s="8"/>
      <c r="O385" s="281" t="s">
        <v>2303</v>
      </c>
      <c r="P385" s="8"/>
      <c r="Q385" s="132"/>
      <c r="R385" s="38"/>
      <c r="S385" s="8"/>
      <c r="T385" s="8"/>
      <c r="U385" s="8"/>
      <c r="V385" s="8"/>
      <c r="W385" s="8"/>
      <c r="X385" s="8"/>
      <c r="Y385" s="8"/>
      <c r="Z385" s="8"/>
      <c r="AA385" s="8"/>
    </row>
    <row r="386" spans="1:51" s="2" customFormat="1" ht="31.5" hidden="1">
      <c r="A386" s="20" t="s">
        <v>24</v>
      </c>
      <c r="B386" s="32" t="s">
        <v>54</v>
      </c>
      <c r="C386" s="24" t="s">
        <v>1075</v>
      </c>
      <c r="D386" s="19" t="s">
        <v>582</v>
      </c>
      <c r="E386" s="24" t="s">
        <v>582</v>
      </c>
      <c r="F386" s="24" t="s">
        <v>582</v>
      </c>
      <c r="G386" s="19" t="s">
        <v>582</v>
      </c>
      <c r="H386" s="19" t="s">
        <v>582</v>
      </c>
      <c r="I386" s="19" t="s">
        <v>582</v>
      </c>
      <c r="J386" s="19" t="s">
        <v>582</v>
      </c>
      <c r="K386" s="19" t="s">
        <v>582</v>
      </c>
      <c r="L386" s="19" t="s">
        <v>582</v>
      </c>
      <c r="M386" s="19" t="s">
        <v>582</v>
      </c>
      <c r="N386" s="19" t="s">
        <v>582</v>
      </c>
      <c r="O386" s="19" t="s">
        <v>582</v>
      </c>
      <c r="P386" s="19" t="s">
        <v>582</v>
      </c>
      <c r="Q386" s="48"/>
      <c r="R386" s="44" t="s">
        <v>582</v>
      </c>
      <c r="S386" s="19" t="s">
        <v>582</v>
      </c>
      <c r="T386" s="19" t="s">
        <v>582</v>
      </c>
      <c r="U386" s="19"/>
      <c r="V386" s="19" t="s">
        <v>582</v>
      </c>
      <c r="W386" s="19" t="s">
        <v>582</v>
      </c>
      <c r="X386" s="19" t="s">
        <v>582</v>
      </c>
      <c r="Y386" s="19" t="s">
        <v>582</v>
      </c>
      <c r="Z386" s="19" t="s">
        <v>582</v>
      </c>
      <c r="AA386" s="19" t="s">
        <v>582</v>
      </c>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c r="A387" s="8" t="s">
        <v>24</v>
      </c>
      <c r="B387" s="31" t="s">
        <v>195</v>
      </c>
      <c r="C387" s="18" t="s">
        <v>1076</v>
      </c>
      <c r="D387" s="18" t="s">
        <v>1077</v>
      </c>
      <c r="E387" s="18" t="s">
        <v>1078</v>
      </c>
      <c r="F387" s="20"/>
      <c r="G387" s="24" t="s">
        <v>62</v>
      </c>
      <c r="H387" s="24"/>
      <c r="I387" s="25"/>
      <c r="J387" s="20"/>
      <c r="K387" s="20"/>
      <c r="L387" s="278"/>
      <c r="M387" s="20"/>
      <c r="N387" s="20"/>
      <c r="O387" s="279"/>
      <c r="P387" s="20"/>
      <c r="Q387" s="132"/>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customHeight="1">
      <c r="A388" s="8" t="s">
        <v>24</v>
      </c>
      <c r="B388" s="31" t="s">
        <v>195</v>
      </c>
      <c r="C388" s="18" t="s">
        <v>1076</v>
      </c>
      <c r="D388" s="18" t="s">
        <v>1079</v>
      </c>
      <c r="E388" s="69" t="s">
        <v>1080</v>
      </c>
      <c r="F388" s="8" t="s">
        <v>2259</v>
      </c>
      <c r="G388" s="18" t="s">
        <v>62</v>
      </c>
      <c r="H388" s="18" t="s">
        <v>1081</v>
      </c>
      <c r="I388" s="23">
        <v>1</v>
      </c>
      <c r="J388" s="8" t="s">
        <v>1191</v>
      </c>
      <c r="K388" s="8" t="s">
        <v>2579</v>
      </c>
      <c r="L388" s="283" t="s">
        <v>2273</v>
      </c>
      <c r="M388" s="8"/>
      <c r="N388" s="8"/>
      <c r="O388" s="281" t="s">
        <v>2303</v>
      </c>
      <c r="P388" s="8" t="s">
        <v>2580</v>
      </c>
      <c r="Q388" s="132"/>
      <c r="R388" s="38"/>
      <c r="S388" s="8"/>
      <c r="T388" s="8"/>
      <c r="U388" s="8"/>
      <c r="V388" s="8"/>
      <c r="W388" s="8"/>
      <c r="X388" s="8"/>
      <c r="Y388" s="8"/>
      <c r="Z388" s="8"/>
      <c r="AA388" s="8"/>
    </row>
    <row r="389" spans="1:51" ht="110.25">
      <c r="A389" s="8" t="s">
        <v>24</v>
      </c>
      <c r="B389" s="31" t="s">
        <v>195</v>
      </c>
      <c r="C389" s="18" t="s">
        <v>1076</v>
      </c>
      <c r="D389" s="18" t="s">
        <v>1082</v>
      </c>
      <c r="E389" s="69" t="s">
        <v>1083</v>
      </c>
      <c r="F389" s="8" t="s">
        <v>2259</v>
      </c>
      <c r="G389" s="18" t="s">
        <v>62</v>
      </c>
      <c r="H389" s="18" t="s">
        <v>1084</v>
      </c>
      <c r="I389" s="23">
        <v>1</v>
      </c>
      <c r="J389" s="8" t="s">
        <v>1191</v>
      </c>
      <c r="K389" s="8" t="s">
        <v>2579</v>
      </c>
      <c r="L389" s="283" t="s">
        <v>2273</v>
      </c>
      <c r="M389" s="8"/>
      <c r="N389" s="8"/>
      <c r="O389" s="281" t="s">
        <v>2303</v>
      </c>
      <c r="P389" s="8" t="s">
        <v>2258</v>
      </c>
      <c r="Q389" s="132"/>
      <c r="R389" s="38"/>
      <c r="S389" s="8"/>
      <c r="T389" s="8"/>
      <c r="U389" s="8"/>
      <c r="V389" s="8"/>
      <c r="W389" s="8"/>
      <c r="X389" s="8"/>
      <c r="Y389" s="8"/>
      <c r="Z389" s="8"/>
      <c r="AA389" s="8"/>
    </row>
    <row r="390" spans="1:51" ht="63">
      <c r="A390" s="8" t="s">
        <v>24</v>
      </c>
      <c r="B390" s="31" t="s">
        <v>195</v>
      </c>
      <c r="C390" s="18" t="s">
        <v>1076</v>
      </c>
      <c r="D390" s="18" t="s">
        <v>1085</v>
      </c>
      <c r="E390" s="18" t="s">
        <v>1086</v>
      </c>
      <c r="F390" s="20"/>
      <c r="G390" s="24" t="s">
        <v>62</v>
      </c>
      <c r="H390" s="24"/>
      <c r="I390" s="24"/>
      <c r="J390" s="20"/>
      <c r="K390" s="20"/>
      <c r="L390" s="278"/>
      <c r="M390" s="20"/>
      <c r="N390" s="20"/>
      <c r="O390" s="279"/>
      <c r="P390" s="20"/>
      <c r="Q390" s="132"/>
      <c r="R390" s="39"/>
      <c r="S390" s="20"/>
      <c r="T390" s="20"/>
      <c r="U390" s="20"/>
      <c r="V390" s="20"/>
      <c r="W390" s="20"/>
      <c r="X390" s="20"/>
      <c r="Y390" s="20"/>
      <c r="Z390" s="20"/>
      <c r="AA390" s="8"/>
    </row>
    <row r="391" spans="1:51" ht="67.900000000000006" customHeight="1">
      <c r="A391" s="8" t="s">
        <v>24</v>
      </c>
      <c r="B391" s="31" t="s">
        <v>195</v>
      </c>
      <c r="C391" s="18" t="s">
        <v>1076</v>
      </c>
      <c r="D391" s="18" t="s">
        <v>1087</v>
      </c>
      <c r="E391" s="18" t="s">
        <v>1088</v>
      </c>
      <c r="F391" s="8" t="s">
        <v>2259</v>
      </c>
      <c r="G391" s="18" t="s">
        <v>62</v>
      </c>
      <c r="H391" s="18" t="s">
        <v>1089</v>
      </c>
      <c r="I391" s="18" t="s">
        <v>1090</v>
      </c>
      <c r="J391" s="8" t="s">
        <v>8</v>
      </c>
      <c r="K391" s="8" t="s">
        <v>2581</v>
      </c>
      <c r="L391" s="283" t="s">
        <v>2273</v>
      </c>
      <c r="M391" s="8" t="s">
        <v>10</v>
      </c>
      <c r="N391" s="8" t="s">
        <v>2582</v>
      </c>
      <c r="O391" s="281" t="s">
        <v>2303</v>
      </c>
      <c r="P391" s="8"/>
      <c r="Q391" s="132"/>
      <c r="R391" s="38"/>
      <c r="S391" s="8"/>
      <c r="T391" s="8"/>
      <c r="U391" s="8"/>
      <c r="V391" s="8"/>
      <c r="W391" s="8"/>
      <c r="X391" s="8"/>
      <c r="Y391" s="8"/>
      <c r="Z391" s="8"/>
      <c r="AA391" s="8"/>
    </row>
    <row r="392" spans="1:51" ht="47.25">
      <c r="A392" s="8" t="s">
        <v>24</v>
      </c>
      <c r="B392" s="31" t="s">
        <v>195</v>
      </c>
      <c r="C392" s="18" t="s">
        <v>1076</v>
      </c>
      <c r="D392" s="18" t="s">
        <v>1091</v>
      </c>
      <c r="E392" s="69" t="s">
        <v>1092</v>
      </c>
      <c r="F392" s="8"/>
      <c r="G392" s="18" t="s">
        <v>62</v>
      </c>
      <c r="H392" s="18" t="s">
        <v>1089</v>
      </c>
      <c r="I392" s="18" t="s">
        <v>1090</v>
      </c>
      <c r="J392" s="8" t="s">
        <v>8</v>
      </c>
      <c r="K392" s="8" t="s">
        <v>2258</v>
      </c>
      <c r="L392" s="283" t="s">
        <v>2273</v>
      </c>
      <c r="M392" s="8"/>
      <c r="N392" s="8"/>
      <c r="O392" s="281" t="s">
        <v>2303</v>
      </c>
      <c r="P392" s="8"/>
      <c r="Q392" s="132"/>
      <c r="R392" s="38"/>
      <c r="S392" s="8"/>
      <c r="T392" s="8"/>
      <c r="U392" s="8"/>
      <c r="V392" s="8"/>
      <c r="W392" s="8"/>
      <c r="X392" s="8"/>
      <c r="Y392" s="8"/>
      <c r="Z392" s="8"/>
      <c r="AA392" s="8"/>
    </row>
    <row r="393" spans="1:51" ht="47.25">
      <c r="A393" s="8" t="s">
        <v>24</v>
      </c>
      <c r="B393" s="31" t="s">
        <v>195</v>
      </c>
      <c r="C393" s="18" t="s">
        <v>1076</v>
      </c>
      <c r="D393" s="18" t="s">
        <v>1093</v>
      </c>
      <c r="E393" s="69" t="s">
        <v>1094</v>
      </c>
      <c r="F393" s="8"/>
      <c r="G393" s="18" t="s">
        <v>62</v>
      </c>
      <c r="H393" s="18" t="s">
        <v>1095</v>
      </c>
      <c r="I393" s="18" t="s">
        <v>1096</v>
      </c>
      <c r="J393" s="8" t="s">
        <v>8</v>
      </c>
      <c r="K393" s="8" t="s">
        <v>2274</v>
      </c>
      <c r="L393" s="283" t="s">
        <v>2273</v>
      </c>
      <c r="M393" s="8"/>
      <c r="N393" s="8"/>
      <c r="O393" s="281" t="s">
        <v>2303</v>
      </c>
      <c r="P393" s="8"/>
      <c r="Q393" s="132"/>
      <c r="R393" s="38"/>
      <c r="S393" s="8"/>
      <c r="T393" s="8"/>
      <c r="U393" s="8"/>
      <c r="V393" s="8"/>
      <c r="W393" s="8"/>
      <c r="X393" s="8"/>
      <c r="Y393" s="8"/>
      <c r="Z393" s="8"/>
      <c r="AA393" s="8"/>
    </row>
    <row r="394" spans="1:51" ht="63">
      <c r="A394" s="8" t="s">
        <v>24</v>
      </c>
      <c r="B394" s="31" t="s">
        <v>195</v>
      </c>
      <c r="C394" s="18" t="s">
        <v>1076</v>
      </c>
      <c r="D394" s="18" t="s">
        <v>1097</v>
      </c>
      <c r="E394" s="69" t="s">
        <v>1098</v>
      </c>
      <c r="F394" s="8"/>
      <c r="G394" s="18" t="s">
        <v>62</v>
      </c>
      <c r="H394" s="18" t="s">
        <v>1099</v>
      </c>
      <c r="I394" s="23">
        <v>1</v>
      </c>
      <c r="J394" s="8" t="s">
        <v>8</v>
      </c>
      <c r="K394" s="8" t="s">
        <v>2258</v>
      </c>
      <c r="L394" s="283" t="s">
        <v>2273</v>
      </c>
      <c r="M394" s="8"/>
      <c r="N394" s="8"/>
      <c r="O394" s="281" t="s">
        <v>2303</v>
      </c>
      <c r="P394" s="8"/>
      <c r="Q394" s="132"/>
      <c r="R394" s="38"/>
      <c r="S394" s="8"/>
      <c r="T394" s="8"/>
      <c r="U394" s="8"/>
      <c r="V394" s="8"/>
      <c r="W394" s="8"/>
      <c r="X394" s="8"/>
      <c r="Y394" s="8"/>
      <c r="Z394" s="8"/>
      <c r="AA394" s="8"/>
    </row>
    <row r="395" spans="1:51" ht="110.25">
      <c r="A395" s="8" t="s">
        <v>24</v>
      </c>
      <c r="B395" s="31" t="s">
        <v>195</v>
      </c>
      <c r="C395" s="18" t="s">
        <v>1076</v>
      </c>
      <c r="D395" s="18" t="s">
        <v>1100</v>
      </c>
      <c r="E395" s="18" t="s">
        <v>1101</v>
      </c>
      <c r="F395" s="8" t="s">
        <v>2253</v>
      </c>
      <c r="G395" s="18" t="s">
        <v>58</v>
      </c>
      <c r="H395" s="18" t="s">
        <v>1102</v>
      </c>
      <c r="I395" s="23">
        <v>0.7</v>
      </c>
      <c r="J395" s="8" t="s">
        <v>8</v>
      </c>
      <c r="K395" s="8" t="s">
        <v>2583</v>
      </c>
      <c r="L395" s="283" t="s">
        <v>2273</v>
      </c>
      <c r="M395" s="8"/>
      <c r="N395" s="8"/>
      <c r="O395" s="281" t="s">
        <v>2303</v>
      </c>
      <c r="P395" s="8" t="s">
        <v>2584</v>
      </c>
      <c r="Q395" s="132"/>
      <c r="R395" s="38"/>
      <c r="S395" s="8"/>
      <c r="T395" s="8"/>
      <c r="U395" s="8"/>
      <c r="V395" s="8"/>
      <c r="W395" s="8"/>
      <c r="X395" s="8"/>
      <c r="Y395" s="8"/>
      <c r="Z395" s="8"/>
      <c r="AA395" s="8"/>
    </row>
    <row r="396" spans="1:51" ht="84" customHeight="1">
      <c r="A396" s="8" t="s">
        <v>24</v>
      </c>
      <c r="B396" s="31" t="s">
        <v>195</v>
      </c>
      <c r="C396" s="18" t="s">
        <v>1103</v>
      </c>
      <c r="D396" s="18" t="s">
        <v>1104</v>
      </c>
      <c r="E396" s="18" t="s">
        <v>1105</v>
      </c>
      <c r="F396" s="8" t="s">
        <v>2259</v>
      </c>
      <c r="G396" s="18" t="s">
        <v>62</v>
      </c>
      <c r="H396" s="18" t="s">
        <v>1106</v>
      </c>
      <c r="I396" s="23">
        <v>1</v>
      </c>
      <c r="J396" s="8" t="s">
        <v>8</v>
      </c>
      <c r="K396" s="8" t="s">
        <v>2585</v>
      </c>
      <c r="L396" s="283" t="s">
        <v>2273</v>
      </c>
      <c r="M396" s="8"/>
      <c r="N396" s="8"/>
      <c r="O396" s="281" t="s">
        <v>2303</v>
      </c>
      <c r="P396" s="8"/>
      <c r="Q396" s="132"/>
      <c r="R396" s="38"/>
      <c r="S396" s="8"/>
      <c r="T396" s="8"/>
      <c r="U396" s="8"/>
      <c r="V396" s="8"/>
      <c r="W396" s="8"/>
      <c r="X396" s="8"/>
      <c r="Y396" s="8"/>
      <c r="Z396" s="8"/>
      <c r="AA396" s="8"/>
    </row>
    <row r="397" spans="1:51" ht="45.6" customHeight="1">
      <c r="A397" s="8" t="s">
        <v>24</v>
      </c>
      <c r="B397" s="31" t="s">
        <v>195</v>
      </c>
      <c r="C397" s="18" t="s">
        <v>1107</v>
      </c>
      <c r="D397" s="18" t="s">
        <v>1108</v>
      </c>
      <c r="E397" s="18" t="s">
        <v>1109</v>
      </c>
      <c r="F397" s="8" t="s">
        <v>2259</v>
      </c>
      <c r="G397" s="18" t="s">
        <v>62</v>
      </c>
      <c r="H397" s="18" t="s">
        <v>1110</v>
      </c>
      <c r="I397" s="23">
        <v>1</v>
      </c>
      <c r="J397" s="8" t="s">
        <v>8</v>
      </c>
      <c r="K397" s="8" t="s">
        <v>2258</v>
      </c>
      <c r="L397" s="283" t="s">
        <v>2273</v>
      </c>
      <c r="M397" s="8"/>
      <c r="N397" s="8"/>
      <c r="O397" s="281" t="s">
        <v>2303</v>
      </c>
      <c r="P397" s="8"/>
      <c r="Q397" s="132"/>
      <c r="R397" s="38"/>
      <c r="S397" s="8"/>
      <c r="T397" s="8"/>
      <c r="U397" s="8"/>
      <c r="V397" s="8"/>
      <c r="W397" s="8"/>
      <c r="X397" s="8"/>
      <c r="Y397" s="8"/>
      <c r="Z397" s="8"/>
      <c r="AA397" s="8"/>
    </row>
    <row r="398" spans="1:51" ht="46.9" customHeight="1">
      <c r="A398" s="8" t="s">
        <v>24</v>
      </c>
      <c r="B398" s="31" t="s">
        <v>195</v>
      </c>
      <c r="C398" s="18" t="s">
        <v>1111</v>
      </c>
      <c r="D398" s="18" t="s">
        <v>1112</v>
      </c>
      <c r="E398" s="18" t="s">
        <v>1113</v>
      </c>
      <c r="F398" s="8"/>
      <c r="G398" s="18" t="s">
        <v>62</v>
      </c>
      <c r="H398" s="18" t="s">
        <v>1114</v>
      </c>
      <c r="I398" s="23">
        <v>1</v>
      </c>
      <c r="J398" s="8" t="s">
        <v>8</v>
      </c>
      <c r="K398" s="8" t="s">
        <v>2258</v>
      </c>
      <c r="L398" s="283" t="s">
        <v>2273</v>
      </c>
      <c r="M398" s="8"/>
      <c r="N398" s="8"/>
      <c r="O398" s="281" t="s">
        <v>2303</v>
      </c>
      <c r="P398" s="8"/>
      <c r="Q398" s="132"/>
      <c r="R398" s="38"/>
      <c r="S398" s="8"/>
      <c r="T398" s="8"/>
      <c r="U398" s="8"/>
      <c r="V398" s="8"/>
      <c r="W398" s="8"/>
      <c r="X398" s="8"/>
      <c r="Y398" s="8"/>
      <c r="Z398" s="8"/>
      <c r="AA398" s="8"/>
    </row>
    <row r="399" spans="1:51" ht="195.75" customHeight="1">
      <c r="A399" s="8" t="s">
        <v>24</v>
      </c>
      <c r="B399" s="31" t="s">
        <v>195</v>
      </c>
      <c r="C399" s="18" t="s">
        <v>1111</v>
      </c>
      <c r="D399" s="18" t="s">
        <v>1115</v>
      </c>
      <c r="E399" s="18" t="s">
        <v>1116</v>
      </c>
      <c r="F399" s="8"/>
      <c r="G399" s="18" t="s">
        <v>62</v>
      </c>
      <c r="H399" s="18" t="s">
        <v>1117</v>
      </c>
      <c r="I399" s="18" t="s">
        <v>671</v>
      </c>
      <c r="J399" s="8" t="s">
        <v>8</v>
      </c>
      <c r="K399" s="8" t="s">
        <v>2258</v>
      </c>
      <c r="L399" s="283" t="s">
        <v>2273</v>
      </c>
      <c r="M399" s="8"/>
      <c r="N399" s="8"/>
      <c r="O399" s="281" t="s">
        <v>2303</v>
      </c>
      <c r="P399" s="8"/>
      <c r="Q399" s="132"/>
      <c r="R399" s="38"/>
      <c r="S399" s="8"/>
      <c r="T399" s="8"/>
      <c r="U399" s="8"/>
      <c r="V399" s="8"/>
      <c r="W399" s="8"/>
      <c r="X399" s="8"/>
      <c r="Y399" s="8"/>
      <c r="Z399" s="8"/>
      <c r="AA399" s="8"/>
    </row>
    <row r="400" spans="1:51" s="5" customFormat="1" ht="47.25" hidden="1">
      <c r="A400" s="20" t="s">
        <v>24</v>
      </c>
      <c r="B400" s="32" t="s">
        <v>274</v>
      </c>
      <c r="C400" s="24" t="s">
        <v>1118</v>
      </c>
      <c r="D400" s="19" t="s">
        <v>582</v>
      </c>
      <c r="E400" s="24" t="s">
        <v>582</v>
      </c>
      <c r="F400" s="24" t="s">
        <v>582</v>
      </c>
      <c r="G400" s="19" t="s">
        <v>582</v>
      </c>
      <c r="H400" s="19" t="s">
        <v>582</v>
      </c>
      <c r="I400" s="19" t="s">
        <v>582</v>
      </c>
      <c r="J400" s="19" t="s">
        <v>582</v>
      </c>
      <c r="K400" s="19" t="s">
        <v>582</v>
      </c>
      <c r="L400" s="19" t="s">
        <v>582</v>
      </c>
      <c r="M400" s="19" t="s">
        <v>582</v>
      </c>
      <c r="N400" s="19" t="s">
        <v>582</v>
      </c>
      <c r="O400" s="19" t="s">
        <v>582</v>
      </c>
      <c r="P400" s="19" t="s">
        <v>582</v>
      </c>
      <c r="Q400" s="48"/>
      <c r="R400" s="44" t="s">
        <v>582</v>
      </c>
      <c r="S400" s="19" t="s">
        <v>582</v>
      </c>
      <c r="T400" s="19" t="s">
        <v>582</v>
      </c>
      <c r="U400" s="19"/>
      <c r="V400" s="19" t="s">
        <v>582</v>
      </c>
      <c r="W400" s="19" t="s">
        <v>582</v>
      </c>
      <c r="X400" s="19" t="s">
        <v>582</v>
      </c>
      <c r="Y400" s="19" t="s">
        <v>582</v>
      </c>
      <c r="Z400" s="19" t="s">
        <v>582</v>
      </c>
      <c r="AA400" s="19" t="s">
        <v>582</v>
      </c>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t="s">
        <v>582</v>
      </c>
      <c r="E401" s="24" t="s">
        <v>582</v>
      </c>
      <c r="F401" s="24" t="s">
        <v>582</v>
      </c>
      <c r="G401" s="19" t="s">
        <v>582</v>
      </c>
      <c r="H401" s="19" t="s">
        <v>582</v>
      </c>
      <c r="I401" s="19" t="s">
        <v>582</v>
      </c>
      <c r="J401" s="19" t="s">
        <v>582</v>
      </c>
      <c r="K401" s="19" t="s">
        <v>582</v>
      </c>
      <c r="L401" s="19" t="s">
        <v>582</v>
      </c>
      <c r="M401" s="19" t="s">
        <v>582</v>
      </c>
      <c r="N401" s="19" t="s">
        <v>582</v>
      </c>
      <c r="O401" s="19" t="s">
        <v>582</v>
      </c>
      <c r="P401" s="19" t="s">
        <v>582</v>
      </c>
      <c r="Q401" s="48"/>
      <c r="R401" s="44" t="s">
        <v>582</v>
      </c>
      <c r="S401" s="19" t="s">
        <v>582</v>
      </c>
      <c r="T401" s="19" t="s">
        <v>582</v>
      </c>
      <c r="U401" s="19"/>
      <c r="V401" s="19" t="s">
        <v>582</v>
      </c>
      <c r="W401" s="19" t="s">
        <v>582</v>
      </c>
      <c r="X401" s="19" t="s">
        <v>582</v>
      </c>
      <c r="Y401" s="19" t="s">
        <v>582</v>
      </c>
      <c r="Z401" s="19" t="s">
        <v>582</v>
      </c>
      <c r="AA401" s="19" t="s">
        <v>582</v>
      </c>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t="s">
        <v>582</v>
      </c>
      <c r="E402" s="24" t="s">
        <v>582</v>
      </c>
      <c r="F402" s="24" t="s">
        <v>582</v>
      </c>
      <c r="G402" s="19" t="s">
        <v>582</v>
      </c>
      <c r="H402" s="19" t="s">
        <v>582</v>
      </c>
      <c r="I402" s="19" t="s">
        <v>582</v>
      </c>
      <c r="J402" s="19" t="s">
        <v>582</v>
      </c>
      <c r="K402" s="19" t="s">
        <v>582</v>
      </c>
      <c r="L402" s="19" t="s">
        <v>582</v>
      </c>
      <c r="M402" s="19" t="s">
        <v>582</v>
      </c>
      <c r="N402" s="19" t="s">
        <v>582</v>
      </c>
      <c r="O402" s="19" t="s">
        <v>582</v>
      </c>
      <c r="P402" s="19" t="s">
        <v>582</v>
      </c>
      <c r="Q402" s="48"/>
      <c r="R402" s="44" t="s">
        <v>582</v>
      </c>
      <c r="S402" s="19" t="s">
        <v>582</v>
      </c>
      <c r="T402" s="19" t="s">
        <v>582</v>
      </c>
      <c r="U402" s="19"/>
      <c r="V402" s="19" t="s">
        <v>582</v>
      </c>
      <c r="W402" s="19" t="s">
        <v>582</v>
      </c>
      <c r="X402" s="19" t="s">
        <v>582</v>
      </c>
      <c r="Y402" s="19" t="s">
        <v>582</v>
      </c>
      <c r="Z402" s="19" t="s">
        <v>582</v>
      </c>
      <c r="AA402" s="19" t="s">
        <v>582</v>
      </c>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customHeight="1">
      <c r="A403" s="8" t="s">
        <v>24</v>
      </c>
      <c r="B403" s="31" t="s">
        <v>274</v>
      </c>
      <c r="C403" s="18" t="s">
        <v>1121</v>
      </c>
      <c r="D403" s="18" t="s">
        <v>1122</v>
      </c>
      <c r="E403" s="18" t="s">
        <v>1123</v>
      </c>
      <c r="F403" s="8"/>
      <c r="G403" s="18" t="s">
        <v>62</v>
      </c>
      <c r="H403" s="18" t="s">
        <v>1124</v>
      </c>
      <c r="I403" s="23">
        <v>1</v>
      </c>
      <c r="J403" s="8" t="s">
        <v>8</v>
      </c>
      <c r="K403" s="8" t="s">
        <v>2258</v>
      </c>
      <c r="L403" s="283" t="s">
        <v>2273</v>
      </c>
      <c r="M403" s="8"/>
      <c r="N403" s="8"/>
      <c r="O403" s="281" t="s">
        <v>2303</v>
      </c>
      <c r="P403" s="8" t="s">
        <v>2586</v>
      </c>
      <c r="Q403" s="132"/>
      <c r="R403" s="38"/>
      <c r="S403" s="8"/>
      <c r="T403" s="8"/>
      <c r="U403" s="8"/>
      <c r="V403" s="8"/>
      <c r="W403" s="8"/>
      <c r="X403" s="8"/>
      <c r="Y403" s="8"/>
      <c r="Z403" s="8"/>
      <c r="AA403" s="8"/>
    </row>
    <row r="404" spans="1:51" ht="61.9" customHeight="1">
      <c r="A404" s="8" t="s">
        <v>24</v>
      </c>
      <c r="B404" s="31" t="s">
        <v>274</v>
      </c>
      <c r="C404" s="18" t="s">
        <v>1121</v>
      </c>
      <c r="D404" s="18" t="s">
        <v>1125</v>
      </c>
      <c r="E404" s="18" t="s">
        <v>1126</v>
      </c>
      <c r="F404" s="8"/>
      <c r="G404" s="18" t="s">
        <v>62</v>
      </c>
      <c r="H404" s="18" t="s">
        <v>1127</v>
      </c>
      <c r="I404" s="23">
        <v>1</v>
      </c>
      <c r="J404" s="8" t="s">
        <v>8</v>
      </c>
      <c r="K404" s="8" t="s">
        <v>2258</v>
      </c>
      <c r="L404" s="283" t="s">
        <v>2273</v>
      </c>
      <c r="M404" s="8"/>
      <c r="N404" s="8"/>
      <c r="O404" s="281" t="s">
        <v>2303</v>
      </c>
      <c r="P404" s="8" t="s">
        <v>2258</v>
      </c>
      <c r="Q404" s="132"/>
      <c r="R404" s="38"/>
      <c r="S404" s="8"/>
      <c r="T404" s="8"/>
      <c r="U404" s="8"/>
      <c r="V404" s="8"/>
      <c r="W404" s="8"/>
      <c r="X404" s="8"/>
      <c r="Y404" s="8"/>
      <c r="Z404" s="8"/>
      <c r="AA404" s="8"/>
    </row>
    <row r="405" spans="1:51" ht="78.75">
      <c r="A405" s="8" t="s">
        <v>24</v>
      </c>
      <c r="B405" s="31" t="s">
        <v>587</v>
      </c>
      <c r="C405" s="18" t="s">
        <v>1128</v>
      </c>
      <c r="D405" s="18" t="s">
        <v>1129</v>
      </c>
      <c r="E405" s="18" t="s">
        <v>1130</v>
      </c>
      <c r="F405" s="20"/>
      <c r="G405" s="24" t="s">
        <v>62</v>
      </c>
      <c r="H405" s="24" t="s">
        <v>591</v>
      </c>
      <c r="I405" s="25">
        <v>1</v>
      </c>
      <c r="J405" s="20"/>
      <c r="K405" s="20"/>
      <c r="L405" s="278"/>
      <c r="M405" s="20"/>
      <c r="N405" s="20"/>
      <c r="O405" s="279"/>
      <c r="P405" s="20"/>
      <c r="Q405" s="132"/>
      <c r="R405" s="39"/>
      <c r="S405" s="20"/>
      <c r="T405" s="20"/>
      <c r="U405" s="20"/>
      <c r="V405" s="20"/>
      <c r="W405" s="20"/>
      <c r="X405" s="20"/>
      <c r="Y405" s="20"/>
      <c r="Z405" s="20"/>
      <c r="AA405" s="8"/>
    </row>
    <row r="406" spans="1:51" ht="141.75">
      <c r="A406" s="8" t="s">
        <v>24</v>
      </c>
      <c r="B406" s="31" t="s">
        <v>587</v>
      </c>
      <c r="C406" s="18" t="s">
        <v>1128</v>
      </c>
      <c r="D406" s="18" t="s">
        <v>1131</v>
      </c>
      <c r="E406" s="69" t="s">
        <v>1132</v>
      </c>
      <c r="F406" s="8"/>
      <c r="G406" s="18" t="s">
        <v>62</v>
      </c>
      <c r="H406" s="18" t="s">
        <v>591</v>
      </c>
      <c r="I406" s="23">
        <v>1</v>
      </c>
      <c r="J406" s="8" t="s">
        <v>8</v>
      </c>
      <c r="K406" s="8" t="s">
        <v>2585</v>
      </c>
      <c r="L406" s="283" t="s">
        <v>2273</v>
      </c>
      <c r="M406" s="8"/>
      <c r="N406" s="8"/>
      <c r="O406" s="281" t="s">
        <v>2303</v>
      </c>
      <c r="P406" s="8" t="s">
        <v>2586</v>
      </c>
      <c r="Q406" s="132"/>
      <c r="R406" s="38"/>
      <c r="S406" s="8"/>
      <c r="T406" s="8"/>
      <c r="U406" s="8"/>
      <c r="V406" s="8"/>
      <c r="W406" s="8"/>
      <c r="X406" s="8"/>
      <c r="Y406" s="8"/>
      <c r="Z406" s="8"/>
      <c r="AA406" s="8"/>
    </row>
    <row r="407" spans="1:51" ht="63">
      <c r="A407" s="8" t="s">
        <v>24</v>
      </c>
      <c r="B407" s="31" t="s">
        <v>587</v>
      </c>
      <c r="C407" s="18" t="s">
        <v>1128</v>
      </c>
      <c r="D407" s="18" t="s">
        <v>1133</v>
      </c>
      <c r="E407" s="69" t="s">
        <v>1134</v>
      </c>
      <c r="F407" s="8"/>
      <c r="G407" s="18" t="s">
        <v>62</v>
      </c>
      <c r="H407" s="18" t="s">
        <v>591</v>
      </c>
      <c r="I407" s="23">
        <v>2</v>
      </c>
      <c r="J407" s="8" t="s">
        <v>8</v>
      </c>
      <c r="K407" s="8" t="s">
        <v>2258</v>
      </c>
      <c r="L407" s="283" t="s">
        <v>2273</v>
      </c>
      <c r="M407" s="8"/>
      <c r="N407" s="8"/>
      <c r="O407" s="281" t="s">
        <v>2303</v>
      </c>
      <c r="P407" s="8"/>
      <c r="Q407" s="132"/>
      <c r="R407" s="38"/>
      <c r="S407" s="8"/>
      <c r="T407" s="8"/>
      <c r="U407" s="8"/>
      <c r="V407" s="8"/>
      <c r="W407" s="8"/>
      <c r="X407" s="8"/>
      <c r="Y407" s="8"/>
      <c r="Z407" s="8"/>
      <c r="AA407" s="8"/>
    </row>
    <row r="408" spans="1:51" ht="63">
      <c r="A408" s="8" t="s">
        <v>24</v>
      </c>
      <c r="B408" s="31" t="s">
        <v>587</v>
      </c>
      <c r="C408" s="18" t="s">
        <v>1128</v>
      </c>
      <c r="D408" s="18" t="s">
        <v>1135</v>
      </c>
      <c r="E408" s="69" t="s">
        <v>1136</v>
      </c>
      <c r="F408" s="8"/>
      <c r="G408" s="18" t="s">
        <v>62</v>
      </c>
      <c r="H408" s="18" t="s">
        <v>591</v>
      </c>
      <c r="I408" s="23">
        <v>3</v>
      </c>
      <c r="J408" s="8" t="s">
        <v>8</v>
      </c>
      <c r="K408" s="8" t="s">
        <v>2258</v>
      </c>
      <c r="L408" s="283" t="s">
        <v>2273</v>
      </c>
      <c r="M408" s="8"/>
      <c r="N408" s="8"/>
      <c r="O408" s="281" t="s">
        <v>2303</v>
      </c>
      <c r="P408" s="8"/>
      <c r="Q408" s="132"/>
      <c r="R408" s="38"/>
      <c r="S408" s="8"/>
      <c r="T408" s="8"/>
      <c r="U408" s="8"/>
      <c r="V408" s="8"/>
      <c r="W408" s="8"/>
      <c r="X408" s="8"/>
      <c r="Y408" s="8"/>
      <c r="Z408" s="8"/>
      <c r="AA408" s="8"/>
    </row>
    <row r="409" spans="1:51" ht="63">
      <c r="A409" s="8" t="s">
        <v>24</v>
      </c>
      <c r="B409" s="31" t="s">
        <v>587</v>
      </c>
      <c r="C409" s="18" t="s">
        <v>1128</v>
      </c>
      <c r="D409" s="18" t="s">
        <v>1137</v>
      </c>
      <c r="E409" s="69" t="s">
        <v>1138</v>
      </c>
      <c r="F409" s="8"/>
      <c r="G409" s="18" t="s">
        <v>62</v>
      </c>
      <c r="H409" s="18" t="s">
        <v>591</v>
      </c>
      <c r="I409" s="23">
        <v>4</v>
      </c>
      <c r="J409" s="8" t="s">
        <v>8</v>
      </c>
      <c r="K409" s="8" t="s">
        <v>2258</v>
      </c>
      <c r="L409" s="283" t="s">
        <v>2273</v>
      </c>
      <c r="M409" s="8"/>
      <c r="N409" s="8"/>
      <c r="O409" s="281" t="s">
        <v>2303</v>
      </c>
      <c r="P409" s="8"/>
      <c r="Q409" s="132"/>
      <c r="R409" s="38"/>
      <c r="S409" s="8"/>
      <c r="T409" s="8"/>
      <c r="U409" s="8"/>
      <c r="V409" s="8"/>
      <c r="W409" s="8"/>
      <c r="X409" s="8"/>
      <c r="Y409" s="8"/>
      <c r="Z409" s="8"/>
      <c r="AA409" s="8"/>
    </row>
    <row r="410" spans="1:51" ht="63">
      <c r="A410" s="8" t="s">
        <v>24</v>
      </c>
      <c r="B410" s="31" t="s">
        <v>587</v>
      </c>
      <c r="C410" s="18" t="s">
        <v>1128</v>
      </c>
      <c r="D410" s="18" t="s">
        <v>1139</v>
      </c>
      <c r="E410" s="69" t="s">
        <v>1140</v>
      </c>
      <c r="F410" s="8"/>
      <c r="G410" s="18" t="s">
        <v>62</v>
      </c>
      <c r="H410" s="18" t="s">
        <v>591</v>
      </c>
      <c r="I410" s="23">
        <v>5</v>
      </c>
      <c r="J410" s="8" t="s">
        <v>8</v>
      </c>
      <c r="K410" s="8" t="s">
        <v>2258</v>
      </c>
      <c r="L410" s="283" t="s">
        <v>2273</v>
      </c>
      <c r="M410" s="8"/>
      <c r="N410" s="8"/>
      <c r="O410" s="281" t="s">
        <v>2303</v>
      </c>
      <c r="P410" s="8"/>
      <c r="Q410" s="132"/>
      <c r="R410" s="38"/>
      <c r="S410" s="8"/>
      <c r="T410" s="8"/>
      <c r="U410" s="8"/>
      <c r="V410" s="8"/>
      <c r="W410" s="8"/>
      <c r="X410" s="8"/>
      <c r="Y410" s="8"/>
      <c r="Z410" s="8"/>
      <c r="AA410" s="8"/>
    </row>
    <row r="411" spans="1:51" ht="159.75" customHeight="1">
      <c r="A411" s="8" t="s">
        <v>24</v>
      </c>
      <c r="B411" s="31" t="s">
        <v>587</v>
      </c>
      <c r="C411" s="18" t="s">
        <v>1128</v>
      </c>
      <c r="D411" s="18" t="s">
        <v>1141</v>
      </c>
      <c r="E411" s="18" t="s">
        <v>1142</v>
      </c>
      <c r="F411" s="8"/>
      <c r="G411" s="18" t="s">
        <v>58</v>
      </c>
      <c r="H411" s="18" t="s">
        <v>1143</v>
      </c>
      <c r="I411" s="23">
        <v>1</v>
      </c>
      <c r="J411" s="8" t="s">
        <v>8</v>
      </c>
      <c r="K411" s="8" t="s">
        <v>2258</v>
      </c>
      <c r="L411" s="283" t="s">
        <v>2273</v>
      </c>
      <c r="M411" s="8"/>
      <c r="N411" s="8"/>
      <c r="O411" s="281" t="s">
        <v>2303</v>
      </c>
      <c r="P411" s="8"/>
      <c r="Q411" s="132"/>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283"/>
      <c r="M412" s="8"/>
      <c r="N412" s="8"/>
      <c r="O412" s="281"/>
      <c r="P412" s="8"/>
      <c r="Q412" s="132"/>
      <c r="R412" s="38"/>
      <c r="S412" s="8"/>
      <c r="T412" s="8"/>
      <c r="U412" s="8"/>
      <c r="V412" s="8"/>
      <c r="W412" s="8"/>
      <c r="X412" s="8"/>
      <c r="Y412" s="8"/>
      <c r="Z412" s="8"/>
      <c r="AA412" s="8"/>
    </row>
    <row r="413" spans="1:51" ht="78.75">
      <c r="A413" s="8" t="s">
        <v>24</v>
      </c>
      <c r="B413" s="31" t="s">
        <v>587</v>
      </c>
      <c r="C413" s="18" t="s">
        <v>1144</v>
      </c>
      <c r="D413" s="18" t="s">
        <v>1148</v>
      </c>
      <c r="E413" s="18" t="s">
        <v>1146</v>
      </c>
      <c r="F413" s="8"/>
      <c r="G413" s="18" t="s">
        <v>1149</v>
      </c>
      <c r="H413" s="18" t="s">
        <v>428</v>
      </c>
      <c r="I413" s="23">
        <v>1</v>
      </c>
      <c r="J413" s="8" t="s">
        <v>8</v>
      </c>
      <c r="K413" s="8"/>
      <c r="L413" s="283" t="s">
        <v>2273</v>
      </c>
      <c r="M413" s="8"/>
      <c r="N413" s="8"/>
      <c r="O413" s="281" t="s">
        <v>2303</v>
      </c>
      <c r="P413" s="8" t="s">
        <v>2586</v>
      </c>
      <c r="Q413" s="132"/>
      <c r="R413" s="38"/>
      <c r="S413" s="8"/>
      <c r="T413" s="8"/>
      <c r="U413" s="8"/>
      <c r="V413" s="8"/>
      <c r="W413" s="8"/>
      <c r="X413" s="8"/>
      <c r="Y413" s="8"/>
      <c r="Z413" s="8"/>
      <c r="AA413" s="8"/>
    </row>
    <row r="414" spans="1:51" s="5" customFormat="1" ht="78.75" hidden="1">
      <c r="A414" s="20" t="s">
        <v>24</v>
      </c>
      <c r="B414" s="32" t="s">
        <v>587</v>
      </c>
      <c r="C414" s="24" t="s">
        <v>1150</v>
      </c>
      <c r="D414" s="19" t="s">
        <v>582</v>
      </c>
      <c r="E414" s="24" t="s">
        <v>582</v>
      </c>
      <c r="F414" s="24" t="s">
        <v>582</v>
      </c>
      <c r="G414" s="19" t="s">
        <v>582</v>
      </c>
      <c r="H414" s="19" t="s">
        <v>582</v>
      </c>
      <c r="I414" s="19" t="s">
        <v>582</v>
      </c>
      <c r="J414" s="19" t="s">
        <v>582</v>
      </c>
      <c r="K414" s="19" t="s">
        <v>582</v>
      </c>
      <c r="L414" s="19" t="s">
        <v>582</v>
      </c>
      <c r="M414" s="19" t="s">
        <v>582</v>
      </c>
      <c r="N414" s="19" t="s">
        <v>582</v>
      </c>
      <c r="O414" s="19" t="s">
        <v>582</v>
      </c>
      <c r="P414" s="19" t="s">
        <v>582</v>
      </c>
      <c r="Q414" s="48"/>
      <c r="R414" s="44" t="s">
        <v>582</v>
      </c>
      <c r="S414" s="19" t="s">
        <v>582</v>
      </c>
      <c r="T414" s="19" t="s">
        <v>582</v>
      </c>
      <c r="U414" s="19"/>
      <c r="V414" s="19" t="s">
        <v>582</v>
      </c>
      <c r="W414" s="19" t="s">
        <v>582</v>
      </c>
      <c r="X414" s="19" t="s">
        <v>582</v>
      </c>
      <c r="Y414" s="19" t="s">
        <v>582</v>
      </c>
      <c r="Z414" s="19" t="s">
        <v>582</v>
      </c>
      <c r="AA414" s="19" t="s">
        <v>582</v>
      </c>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94.5">
      <c r="A415" s="8" t="s">
        <v>24</v>
      </c>
      <c r="B415" s="31" t="s">
        <v>587</v>
      </c>
      <c r="C415" s="18" t="s">
        <v>1151</v>
      </c>
      <c r="D415" s="18" t="s">
        <v>1152</v>
      </c>
      <c r="E415" s="18" t="s">
        <v>1153</v>
      </c>
      <c r="F415" s="8" t="s">
        <v>2297</v>
      </c>
      <c r="G415" s="18" t="s">
        <v>62</v>
      </c>
      <c r="H415" s="18" t="s">
        <v>1154</v>
      </c>
      <c r="I415" s="18" t="s">
        <v>1155</v>
      </c>
      <c r="J415" s="8" t="s">
        <v>8</v>
      </c>
      <c r="K415" s="8"/>
      <c r="L415" s="283" t="s">
        <v>2273</v>
      </c>
      <c r="M415" s="8" t="s">
        <v>10</v>
      </c>
      <c r="N415" s="8"/>
      <c r="O415" s="281" t="s">
        <v>2303</v>
      </c>
      <c r="P415" s="8" t="s">
        <v>2258</v>
      </c>
      <c r="Q415" s="132"/>
      <c r="R415" s="38"/>
      <c r="S415" s="8"/>
      <c r="T415" s="8"/>
      <c r="U415" s="8"/>
      <c r="V415" s="8"/>
      <c r="W415" s="8"/>
      <c r="X415" s="8"/>
      <c r="Y415" s="8"/>
      <c r="Z415" s="8"/>
      <c r="AA415" s="8"/>
    </row>
    <row r="416" spans="1:5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customHeight="1">
      <c r="A417" s="18" t="s">
        <v>26</v>
      </c>
      <c r="B417" s="31" t="s">
        <v>54</v>
      </c>
      <c r="C417" s="18" t="s">
        <v>1157</v>
      </c>
      <c r="D417" s="18" t="s">
        <v>1158</v>
      </c>
      <c r="E417" s="18" t="s">
        <v>1159</v>
      </c>
      <c r="F417" s="8" t="s">
        <v>2259</v>
      </c>
      <c r="G417" s="18" t="s">
        <v>62</v>
      </c>
      <c r="H417" s="18" t="s">
        <v>1160</v>
      </c>
      <c r="I417" s="23">
        <v>0.5</v>
      </c>
      <c r="J417" s="8" t="s">
        <v>8</v>
      </c>
      <c r="K417" s="8" t="s">
        <v>2587</v>
      </c>
      <c r="L417" s="283" t="s">
        <v>2273</v>
      </c>
      <c r="M417" s="8"/>
      <c r="N417" s="8"/>
      <c r="O417" s="281" t="s">
        <v>2303</v>
      </c>
      <c r="P417" s="8"/>
      <c r="Q417" s="132"/>
      <c r="R417" s="38"/>
      <c r="S417" s="8"/>
      <c r="T417" s="8"/>
      <c r="U417" s="8"/>
      <c r="V417" s="8"/>
      <c r="W417" s="8"/>
      <c r="X417" s="8"/>
      <c r="Y417" s="8"/>
      <c r="Z417" s="8"/>
      <c r="AA417" s="8"/>
    </row>
    <row r="418" spans="1:51" ht="68.25" customHeight="1">
      <c r="A418" s="18" t="s">
        <v>26</v>
      </c>
      <c r="B418" s="31" t="s">
        <v>54</v>
      </c>
      <c r="C418" s="18" t="s">
        <v>1161</v>
      </c>
      <c r="D418" s="18" t="s">
        <v>1162</v>
      </c>
      <c r="E418" s="18" t="s">
        <v>1163</v>
      </c>
      <c r="F418" s="8" t="s">
        <v>2259</v>
      </c>
      <c r="G418" s="18" t="s">
        <v>62</v>
      </c>
      <c r="H418" s="18" t="s">
        <v>1164</v>
      </c>
      <c r="I418" s="18" t="s">
        <v>1165</v>
      </c>
      <c r="J418" s="8" t="s">
        <v>8</v>
      </c>
      <c r="K418" s="8" t="s">
        <v>2258</v>
      </c>
      <c r="L418" s="283" t="s">
        <v>2273</v>
      </c>
      <c r="M418" s="8"/>
      <c r="N418" s="8"/>
      <c r="O418" s="281" t="s">
        <v>2303</v>
      </c>
      <c r="P418" s="8"/>
      <c r="Q418" s="132"/>
      <c r="R418" s="38"/>
      <c r="S418" s="8"/>
      <c r="T418" s="8"/>
      <c r="U418" s="8"/>
      <c r="V418" s="8"/>
      <c r="W418" s="8"/>
      <c r="X418" s="8"/>
      <c r="Y418" s="8"/>
      <c r="Z418" s="8"/>
      <c r="AA418" s="8"/>
    </row>
    <row r="419" spans="1:51" ht="31.5" hidden="1">
      <c r="A419" s="24" t="s">
        <v>26</v>
      </c>
      <c r="B419" s="32" t="s">
        <v>54</v>
      </c>
      <c r="C419" s="24" t="s">
        <v>1166</v>
      </c>
      <c r="D419" s="19" t="s">
        <v>582</v>
      </c>
      <c r="E419" s="24" t="s">
        <v>582</v>
      </c>
      <c r="F419" s="24" t="s">
        <v>582</v>
      </c>
      <c r="G419" s="19" t="s">
        <v>582</v>
      </c>
      <c r="H419" s="19" t="s">
        <v>582</v>
      </c>
      <c r="I419" s="19" t="s">
        <v>582</v>
      </c>
      <c r="J419" s="19" t="s">
        <v>582</v>
      </c>
      <c r="K419" s="19" t="s">
        <v>582</v>
      </c>
      <c r="L419" s="19" t="s">
        <v>582</v>
      </c>
      <c r="M419" s="19" t="s">
        <v>582</v>
      </c>
      <c r="N419" s="19" t="s">
        <v>582</v>
      </c>
      <c r="O419" s="19" t="s">
        <v>582</v>
      </c>
      <c r="P419" s="19" t="s">
        <v>582</v>
      </c>
      <c r="Q419" s="48"/>
      <c r="R419" s="44" t="s">
        <v>582</v>
      </c>
      <c r="S419" s="19" t="s">
        <v>582</v>
      </c>
      <c r="T419" s="19" t="s">
        <v>582</v>
      </c>
      <c r="U419" s="19"/>
      <c r="V419" s="19" t="s">
        <v>582</v>
      </c>
      <c r="W419" s="19" t="s">
        <v>582</v>
      </c>
      <c r="X419" s="19" t="s">
        <v>582</v>
      </c>
      <c r="Y419" s="19" t="s">
        <v>582</v>
      </c>
      <c r="Z419" s="19" t="s">
        <v>582</v>
      </c>
      <c r="AA419" s="19" t="s">
        <v>582</v>
      </c>
    </row>
    <row r="420" spans="1:51" ht="47.25" hidden="1">
      <c r="A420" s="18" t="s">
        <v>26</v>
      </c>
      <c r="B420" s="31" t="s">
        <v>195</v>
      </c>
      <c r="C420" s="18" t="s">
        <v>1167</v>
      </c>
      <c r="D420" s="18" t="s">
        <v>1168</v>
      </c>
      <c r="E420" s="18" t="s">
        <v>1169</v>
      </c>
      <c r="F420" s="8"/>
      <c r="G420" s="18" t="s">
        <v>71</v>
      </c>
      <c r="H420" s="18" t="s">
        <v>1170</v>
      </c>
      <c r="I420" s="18" t="s">
        <v>1171</v>
      </c>
      <c r="J420" s="8"/>
      <c r="K420" s="8"/>
      <c r="L420" s="283"/>
      <c r="M420" s="8"/>
      <c r="N420" s="8"/>
      <c r="O420" s="281"/>
      <c r="P420" s="8"/>
      <c r="Q420" s="132"/>
      <c r="R420" s="38"/>
      <c r="S420" s="8"/>
      <c r="T420" s="8"/>
      <c r="U420" s="8"/>
      <c r="V420" s="8"/>
      <c r="W420" s="8"/>
      <c r="X420" s="8"/>
      <c r="Y420" s="8"/>
      <c r="Z420" s="8"/>
      <c r="AA420" s="8"/>
    </row>
    <row r="421" spans="1:51" ht="51.6" customHeight="1">
      <c r="A421" s="18" t="s">
        <v>26</v>
      </c>
      <c r="B421" s="31" t="s">
        <v>195</v>
      </c>
      <c r="C421" s="18" t="s">
        <v>1167</v>
      </c>
      <c r="D421" s="18" t="s">
        <v>1172</v>
      </c>
      <c r="E421" s="18" t="s">
        <v>1173</v>
      </c>
      <c r="F421" s="8" t="s">
        <v>2259</v>
      </c>
      <c r="G421" s="18" t="s">
        <v>62</v>
      </c>
      <c r="H421" s="18" t="s">
        <v>1174</v>
      </c>
      <c r="I421" s="18" t="s">
        <v>1175</v>
      </c>
      <c r="J421" s="8" t="s">
        <v>8</v>
      </c>
      <c r="K421" s="8" t="s">
        <v>2258</v>
      </c>
      <c r="L421" s="283" t="s">
        <v>2273</v>
      </c>
      <c r="M421" s="8"/>
      <c r="N421" s="8"/>
      <c r="O421" s="281" t="s">
        <v>2303</v>
      </c>
      <c r="P421" s="8"/>
      <c r="Q421" s="132"/>
      <c r="R421" s="38"/>
      <c r="S421" s="8"/>
      <c r="T421" s="8"/>
      <c r="U421" s="8"/>
      <c r="V421" s="8"/>
      <c r="W421" s="8"/>
      <c r="X421" s="8"/>
      <c r="Y421" s="8"/>
      <c r="Z421" s="8"/>
      <c r="AA421" s="8"/>
    </row>
    <row r="422" spans="1:51" s="2" customFormat="1" ht="63" hidden="1">
      <c r="A422" s="24" t="s">
        <v>26</v>
      </c>
      <c r="B422" s="32" t="s">
        <v>195</v>
      </c>
      <c r="C422" s="24" t="s">
        <v>1176</v>
      </c>
      <c r="D422" s="19" t="s">
        <v>582</v>
      </c>
      <c r="E422" s="24" t="s">
        <v>582</v>
      </c>
      <c r="F422" s="24" t="s">
        <v>582</v>
      </c>
      <c r="G422" s="24" t="s">
        <v>582</v>
      </c>
      <c r="H422" s="19" t="s">
        <v>582</v>
      </c>
      <c r="I422" s="19" t="s">
        <v>582</v>
      </c>
      <c r="J422" s="19" t="s">
        <v>582</v>
      </c>
      <c r="K422" s="19" t="s">
        <v>582</v>
      </c>
      <c r="L422" s="19" t="s">
        <v>582</v>
      </c>
      <c r="M422" s="19" t="s">
        <v>582</v>
      </c>
      <c r="N422" s="19" t="s">
        <v>582</v>
      </c>
      <c r="O422" s="19" t="s">
        <v>582</v>
      </c>
      <c r="P422" s="19" t="s">
        <v>582</v>
      </c>
      <c r="Q422" s="48"/>
      <c r="R422" s="44" t="s">
        <v>582</v>
      </c>
      <c r="S422" s="19" t="s">
        <v>582</v>
      </c>
      <c r="T422" s="19" t="s">
        <v>582</v>
      </c>
      <c r="U422" s="19"/>
      <c r="V422" s="19" t="s">
        <v>582</v>
      </c>
      <c r="W422" s="19" t="s">
        <v>582</v>
      </c>
      <c r="X422" s="19" t="s">
        <v>582</v>
      </c>
      <c r="Y422" s="19" t="s">
        <v>582</v>
      </c>
      <c r="Z422" s="19" t="s">
        <v>582</v>
      </c>
      <c r="AA422" s="19" t="s">
        <v>582</v>
      </c>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t="s">
        <v>582</v>
      </c>
      <c r="E423" s="24" t="s">
        <v>582</v>
      </c>
      <c r="F423" s="24" t="s">
        <v>582</v>
      </c>
      <c r="G423" s="24" t="s">
        <v>582</v>
      </c>
      <c r="H423" s="19" t="s">
        <v>582</v>
      </c>
      <c r="I423" s="19" t="s">
        <v>582</v>
      </c>
      <c r="J423" s="19" t="s">
        <v>582</v>
      </c>
      <c r="K423" s="19" t="s">
        <v>582</v>
      </c>
      <c r="L423" s="19" t="s">
        <v>582</v>
      </c>
      <c r="M423" s="19" t="s">
        <v>582</v>
      </c>
      <c r="N423" s="19" t="s">
        <v>582</v>
      </c>
      <c r="O423" s="19" t="s">
        <v>582</v>
      </c>
      <c r="P423" s="19" t="s">
        <v>582</v>
      </c>
      <c r="Q423" s="48"/>
      <c r="R423" s="44" t="s">
        <v>582</v>
      </c>
      <c r="S423" s="19" t="s">
        <v>582</v>
      </c>
      <c r="T423" s="19" t="s">
        <v>582</v>
      </c>
      <c r="U423" s="19"/>
      <c r="V423" s="19" t="s">
        <v>582</v>
      </c>
      <c r="W423" s="19" t="s">
        <v>582</v>
      </c>
      <c r="X423" s="19" t="s">
        <v>582</v>
      </c>
      <c r="Y423" s="19" t="s">
        <v>582</v>
      </c>
      <c r="Z423" s="19" t="s">
        <v>582</v>
      </c>
      <c r="AA423" s="19" t="s">
        <v>582</v>
      </c>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t="s">
        <v>582</v>
      </c>
      <c r="E424" s="24" t="s">
        <v>582</v>
      </c>
      <c r="F424" s="24" t="s">
        <v>582</v>
      </c>
      <c r="G424" s="24" t="s">
        <v>582</v>
      </c>
      <c r="H424" s="19" t="s">
        <v>582</v>
      </c>
      <c r="I424" s="19" t="s">
        <v>582</v>
      </c>
      <c r="J424" s="19" t="s">
        <v>582</v>
      </c>
      <c r="K424" s="19" t="s">
        <v>582</v>
      </c>
      <c r="L424" s="19" t="s">
        <v>582</v>
      </c>
      <c r="M424" s="19" t="s">
        <v>582</v>
      </c>
      <c r="N424" s="19" t="s">
        <v>582</v>
      </c>
      <c r="O424" s="19" t="s">
        <v>582</v>
      </c>
      <c r="P424" s="19" t="s">
        <v>582</v>
      </c>
      <c r="Q424" s="48"/>
      <c r="R424" s="44" t="s">
        <v>582</v>
      </c>
      <c r="S424" s="19" t="s">
        <v>582</v>
      </c>
      <c r="T424" s="19" t="s">
        <v>582</v>
      </c>
      <c r="U424" s="19"/>
      <c r="V424" s="19" t="s">
        <v>582</v>
      </c>
      <c r="W424" s="19" t="s">
        <v>582</v>
      </c>
      <c r="X424" s="19" t="s">
        <v>582</v>
      </c>
      <c r="Y424" s="19" t="s">
        <v>582</v>
      </c>
      <c r="Z424" s="19" t="s">
        <v>582</v>
      </c>
      <c r="AA424" s="19" t="s">
        <v>582</v>
      </c>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t="s">
        <v>582</v>
      </c>
      <c r="E425" s="24" t="s">
        <v>582</v>
      </c>
      <c r="F425" s="24" t="s">
        <v>582</v>
      </c>
      <c r="G425" s="24" t="s">
        <v>582</v>
      </c>
      <c r="H425" s="19" t="s">
        <v>582</v>
      </c>
      <c r="I425" s="19" t="s">
        <v>582</v>
      </c>
      <c r="J425" s="19" t="s">
        <v>582</v>
      </c>
      <c r="K425" s="19" t="s">
        <v>582</v>
      </c>
      <c r="L425" s="19" t="s">
        <v>582</v>
      </c>
      <c r="M425" s="19" t="s">
        <v>582</v>
      </c>
      <c r="N425" s="19" t="s">
        <v>582</v>
      </c>
      <c r="O425" s="19" t="s">
        <v>582</v>
      </c>
      <c r="P425" s="19" t="s">
        <v>582</v>
      </c>
      <c r="Q425" s="48"/>
      <c r="R425" s="44" t="s">
        <v>582</v>
      </c>
      <c r="S425" s="19" t="s">
        <v>582</v>
      </c>
      <c r="T425" s="19" t="s">
        <v>582</v>
      </c>
      <c r="U425" s="19"/>
      <c r="V425" s="19" t="s">
        <v>582</v>
      </c>
      <c r="W425" s="19" t="s">
        <v>582</v>
      </c>
      <c r="X425" s="19" t="s">
        <v>582</v>
      </c>
      <c r="Y425" s="19" t="s">
        <v>582</v>
      </c>
      <c r="Z425" s="19" t="s">
        <v>582</v>
      </c>
      <c r="AA425" s="19" t="s">
        <v>582</v>
      </c>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t="s">
        <v>582</v>
      </c>
      <c r="E426" s="24" t="s">
        <v>582</v>
      </c>
      <c r="F426" s="24" t="s">
        <v>582</v>
      </c>
      <c r="G426" s="24" t="s">
        <v>582</v>
      </c>
      <c r="H426" s="19" t="s">
        <v>582</v>
      </c>
      <c r="I426" s="19" t="s">
        <v>582</v>
      </c>
      <c r="J426" s="19" t="s">
        <v>582</v>
      </c>
      <c r="K426" s="19" t="s">
        <v>582</v>
      </c>
      <c r="L426" s="19" t="s">
        <v>582</v>
      </c>
      <c r="M426" s="19" t="s">
        <v>582</v>
      </c>
      <c r="N426" s="19" t="s">
        <v>582</v>
      </c>
      <c r="O426" s="19" t="s">
        <v>582</v>
      </c>
      <c r="P426" s="19" t="s">
        <v>582</v>
      </c>
      <c r="Q426" s="48"/>
      <c r="R426" s="44" t="s">
        <v>582</v>
      </c>
      <c r="S426" s="19" t="s">
        <v>582</v>
      </c>
      <c r="T426" s="19" t="s">
        <v>582</v>
      </c>
      <c r="U426" s="19"/>
      <c r="V426" s="19" t="s">
        <v>582</v>
      </c>
      <c r="W426" s="19" t="s">
        <v>582</v>
      </c>
      <c r="X426" s="19" t="s">
        <v>582</v>
      </c>
      <c r="Y426" s="19" t="s">
        <v>582</v>
      </c>
      <c r="Z426" s="19" t="s">
        <v>582</v>
      </c>
      <c r="AA426" s="19" t="s">
        <v>582</v>
      </c>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t="s">
        <v>582</v>
      </c>
      <c r="E427" s="24" t="s">
        <v>582</v>
      </c>
      <c r="F427" s="24" t="s">
        <v>582</v>
      </c>
      <c r="G427" s="24" t="s">
        <v>582</v>
      </c>
      <c r="H427" s="19" t="s">
        <v>582</v>
      </c>
      <c r="I427" s="19" t="s">
        <v>582</v>
      </c>
      <c r="J427" s="19" t="s">
        <v>582</v>
      </c>
      <c r="K427" s="19" t="s">
        <v>582</v>
      </c>
      <c r="L427" s="19" t="s">
        <v>582</v>
      </c>
      <c r="M427" s="19" t="s">
        <v>582</v>
      </c>
      <c r="N427" s="19" t="s">
        <v>582</v>
      </c>
      <c r="O427" s="19" t="s">
        <v>582</v>
      </c>
      <c r="P427" s="19" t="s">
        <v>582</v>
      </c>
      <c r="Q427" s="48"/>
      <c r="R427" s="44" t="s">
        <v>582</v>
      </c>
      <c r="S427" s="19" t="s">
        <v>582</v>
      </c>
      <c r="T427" s="19" t="s">
        <v>582</v>
      </c>
      <c r="U427" s="19"/>
      <c r="V427" s="19" t="s">
        <v>582</v>
      </c>
      <c r="W427" s="19" t="s">
        <v>582</v>
      </c>
      <c r="X427" s="19" t="s">
        <v>582</v>
      </c>
      <c r="Y427" s="19" t="s">
        <v>582</v>
      </c>
      <c r="Z427" s="19" t="s">
        <v>582</v>
      </c>
      <c r="AA427" s="19" t="s">
        <v>582</v>
      </c>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t="s">
        <v>582</v>
      </c>
      <c r="E428" s="24" t="s">
        <v>582</v>
      </c>
      <c r="F428" s="24" t="s">
        <v>582</v>
      </c>
      <c r="G428" s="24" t="s">
        <v>582</v>
      </c>
      <c r="H428" s="19" t="s">
        <v>582</v>
      </c>
      <c r="I428" s="19" t="s">
        <v>582</v>
      </c>
      <c r="J428" s="19" t="s">
        <v>582</v>
      </c>
      <c r="K428" s="19" t="s">
        <v>582</v>
      </c>
      <c r="L428" s="19" t="s">
        <v>582</v>
      </c>
      <c r="M428" s="19" t="s">
        <v>582</v>
      </c>
      <c r="N428" s="19" t="s">
        <v>582</v>
      </c>
      <c r="O428" s="19" t="s">
        <v>582</v>
      </c>
      <c r="P428" s="19" t="s">
        <v>582</v>
      </c>
      <c r="Q428" s="48"/>
      <c r="R428" s="44" t="s">
        <v>582</v>
      </c>
      <c r="S428" s="19" t="s">
        <v>582</v>
      </c>
      <c r="T428" s="19" t="s">
        <v>582</v>
      </c>
      <c r="U428" s="19"/>
      <c r="V428" s="19" t="s">
        <v>582</v>
      </c>
      <c r="W428" s="19" t="s">
        <v>582</v>
      </c>
      <c r="X428" s="19" t="s">
        <v>582</v>
      </c>
      <c r="Y428" s="19" t="s">
        <v>582</v>
      </c>
      <c r="Z428" s="19" t="s">
        <v>582</v>
      </c>
      <c r="AA428" s="19" t="s">
        <v>582</v>
      </c>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t="s">
        <v>582</v>
      </c>
      <c r="E429" s="24" t="s">
        <v>582</v>
      </c>
      <c r="F429" s="24" t="s">
        <v>582</v>
      </c>
      <c r="G429" s="24" t="s">
        <v>582</v>
      </c>
      <c r="H429" s="19" t="s">
        <v>582</v>
      </c>
      <c r="I429" s="19" t="s">
        <v>582</v>
      </c>
      <c r="J429" s="19" t="s">
        <v>582</v>
      </c>
      <c r="K429" s="19" t="s">
        <v>582</v>
      </c>
      <c r="L429" s="19" t="s">
        <v>582</v>
      </c>
      <c r="M429" s="19" t="s">
        <v>582</v>
      </c>
      <c r="N429" s="19" t="s">
        <v>582</v>
      </c>
      <c r="O429" s="19" t="s">
        <v>582</v>
      </c>
      <c r="P429" s="19" t="s">
        <v>582</v>
      </c>
      <c r="Q429" s="48"/>
      <c r="R429" s="44" t="s">
        <v>582</v>
      </c>
      <c r="S429" s="19" t="s">
        <v>582</v>
      </c>
      <c r="T429" s="19" t="s">
        <v>582</v>
      </c>
      <c r="U429" s="19"/>
      <c r="V429" s="19" t="s">
        <v>582</v>
      </c>
      <c r="W429" s="19" t="s">
        <v>582</v>
      </c>
      <c r="X429" s="19" t="s">
        <v>582</v>
      </c>
      <c r="Y429" s="19" t="s">
        <v>582</v>
      </c>
      <c r="Z429" s="19" t="s">
        <v>582</v>
      </c>
      <c r="AA429" s="19" t="s">
        <v>582</v>
      </c>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t="s">
        <v>582</v>
      </c>
      <c r="E430" s="24" t="s">
        <v>582</v>
      </c>
      <c r="F430" s="24" t="s">
        <v>582</v>
      </c>
      <c r="G430" s="24" t="s">
        <v>582</v>
      </c>
      <c r="H430" s="19" t="s">
        <v>582</v>
      </c>
      <c r="I430" s="19" t="s">
        <v>582</v>
      </c>
      <c r="J430" s="19" t="s">
        <v>582</v>
      </c>
      <c r="K430" s="19" t="s">
        <v>582</v>
      </c>
      <c r="L430" s="19" t="s">
        <v>582</v>
      </c>
      <c r="M430" s="19" t="s">
        <v>582</v>
      </c>
      <c r="N430" s="19" t="s">
        <v>582</v>
      </c>
      <c r="O430" s="19" t="s">
        <v>582</v>
      </c>
      <c r="P430" s="19" t="s">
        <v>582</v>
      </c>
      <c r="Q430" s="48"/>
      <c r="R430" s="44" t="s">
        <v>582</v>
      </c>
      <c r="S430" s="19" t="s">
        <v>582</v>
      </c>
      <c r="T430" s="19" t="s">
        <v>582</v>
      </c>
      <c r="U430" s="19"/>
      <c r="V430" s="19" t="s">
        <v>582</v>
      </c>
      <c r="W430" s="19" t="s">
        <v>582</v>
      </c>
      <c r="X430" s="19" t="s">
        <v>582</v>
      </c>
      <c r="Y430" s="19" t="s">
        <v>582</v>
      </c>
      <c r="Z430" s="19" t="s">
        <v>582</v>
      </c>
      <c r="AA430" s="19" t="s">
        <v>582</v>
      </c>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t="s">
        <v>582</v>
      </c>
      <c r="E431" s="24" t="s">
        <v>582</v>
      </c>
      <c r="F431" s="24" t="s">
        <v>582</v>
      </c>
      <c r="G431" s="24" t="s">
        <v>582</v>
      </c>
      <c r="H431" s="19" t="s">
        <v>582</v>
      </c>
      <c r="I431" s="19" t="s">
        <v>582</v>
      </c>
      <c r="J431" s="19" t="s">
        <v>582</v>
      </c>
      <c r="K431" s="19" t="s">
        <v>582</v>
      </c>
      <c r="L431" s="19" t="s">
        <v>582</v>
      </c>
      <c r="M431" s="19" t="s">
        <v>582</v>
      </c>
      <c r="N431" s="19" t="s">
        <v>582</v>
      </c>
      <c r="O431" s="19" t="s">
        <v>582</v>
      </c>
      <c r="P431" s="19" t="s">
        <v>582</v>
      </c>
      <c r="Q431" s="48"/>
      <c r="R431" s="44" t="s">
        <v>582</v>
      </c>
      <c r="S431" s="19" t="s">
        <v>582</v>
      </c>
      <c r="T431" s="19" t="s">
        <v>582</v>
      </c>
      <c r="U431" s="19"/>
      <c r="V431" s="19" t="s">
        <v>582</v>
      </c>
      <c r="W431" s="19" t="s">
        <v>582</v>
      </c>
      <c r="X431" s="19" t="s">
        <v>582</v>
      </c>
      <c r="Y431" s="19" t="s">
        <v>582</v>
      </c>
      <c r="Z431" s="19" t="s">
        <v>582</v>
      </c>
      <c r="AA431" s="19" t="s">
        <v>582</v>
      </c>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customHeight="1">
      <c r="A432" s="18" t="s">
        <v>26</v>
      </c>
      <c r="B432" s="31" t="s">
        <v>587</v>
      </c>
      <c r="C432" s="18" t="s">
        <v>1186</v>
      </c>
      <c r="D432" s="18" t="s">
        <v>1187</v>
      </c>
      <c r="E432" s="18" t="s">
        <v>1188</v>
      </c>
      <c r="F432" s="8" t="s">
        <v>2259</v>
      </c>
      <c r="G432" s="18" t="s">
        <v>62</v>
      </c>
      <c r="H432" s="18" t="s">
        <v>1189</v>
      </c>
      <c r="I432" s="23">
        <v>0.5</v>
      </c>
      <c r="J432" s="8" t="s">
        <v>8</v>
      </c>
      <c r="K432" s="8" t="s">
        <v>2258</v>
      </c>
      <c r="L432" s="283" t="s">
        <v>2273</v>
      </c>
      <c r="M432" s="8"/>
      <c r="N432" s="8"/>
      <c r="O432" s="281" t="s">
        <v>2303</v>
      </c>
      <c r="P432" s="8"/>
      <c r="Q432" s="132"/>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A1" name="filter columns"/>
    <protectedRange sqref="F3:F432 J3:P432" name="input cells CPs"/>
  </protectedRanges>
  <autoFilter ref="A1:O432" xr:uid="{00000000-0009-0000-0000-000002000000}">
    <filterColumn colId="6">
      <filters blank="1">
        <filter val="CPs"/>
        <filter val="CPs / Stakeholders"/>
        <filter val="CPs/Stakeholders"/>
      </filters>
    </filterColumn>
  </autoFilter>
  <dataValidations count="1">
    <dataValidation type="textLength" operator="lessThan" allowBlank="1" showInputMessage="1" showErrorMessage="1" sqref="P1:P432 AA1:AA432" xr:uid="{1BD32B18-3DCF-4EAE-AC7F-4F6A56DDB443}">
      <formula1>256</formula1>
    </dataValidation>
  </dataValidations>
  <pageMargins left="0.7" right="0.7" top="0.75" bottom="0.75" header="0.3" footer="0.3"/>
  <pageSetup paperSize="9" orientation="portrait" horizontalDpi="4294967293"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017CB-5C44-4FC2-918C-1FE35FC5388E}">
  <sheetPr filterMode="1"/>
  <dimension ref="A1:AY597"/>
  <sheetViews>
    <sheetView workbookViewId="0"/>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0" style="46" hidden="1" customWidth="1"/>
    <col min="18" max="26" width="14.140625" style="26" hidden="1" customWidth="1"/>
    <col min="27" max="27" width="20.85546875" style="1" hidden="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277"/>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20"/>
      <c r="G3" s="20" t="s">
        <v>58</v>
      </c>
      <c r="H3" s="20" t="s">
        <v>59</v>
      </c>
      <c r="I3" s="22">
        <v>1</v>
      </c>
      <c r="J3" s="20"/>
      <c r="K3" s="20"/>
      <c r="L3" s="278"/>
      <c r="M3" s="20"/>
      <c r="N3" s="20"/>
      <c r="O3" s="279"/>
      <c r="P3" s="20"/>
      <c r="Q3" s="132"/>
      <c r="R3" s="39"/>
      <c r="S3" s="20"/>
      <c r="T3" s="20"/>
      <c r="U3" s="20"/>
      <c r="V3" s="20"/>
      <c r="W3" s="20"/>
      <c r="X3" s="20"/>
      <c r="Y3" s="20"/>
      <c r="Z3" s="20"/>
      <c r="AA3" s="20"/>
    </row>
    <row r="4" spans="1:27" ht="63" hidden="1">
      <c r="A4" s="8" t="s">
        <v>53</v>
      </c>
      <c r="B4" s="29" t="s">
        <v>54</v>
      </c>
      <c r="C4" s="8" t="s">
        <v>55</v>
      </c>
      <c r="D4" s="8" t="s">
        <v>60</v>
      </c>
      <c r="E4" s="69" t="s">
        <v>61</v>
      </c>
      <c r="F4" s="8" t="s">
        <v>2590</v>
      </c>
      <c r="G4" s="8" t="s">
        <v>62</v>
      </c>
      <c r="H4" s="8" t="s">
        <v>59</v>
      </c>
      <c r="I4" s="9">
        <v>1</v>
      </c>
      <c r="J4" s="9" t="s">
        <v>1090</v>
      </c>
      <c r="K4" s="9"/>
      <c r="L4" s="283"/>
      <c r="M4" s="9"/>
      <c r="N4" s="9"/>
      <c r="O4" s="281"/>
      <c r="P4" s="8" t="s">
        <v>2591</v>
      </c>
      <c r="Q4" s="282"/>
      <c r="R4" s="37"/>
      <c r="S4" s="9"/>
      <c r="T4" s="9"/>
      <c r="U4" s="9"/>
      <c r="V4" s="9"/>
      <c r="W4" s="9"/>
      <c r="X4" s="9"/>
      <c r="Y4" s="9"/>
      <c r="Z4" s="9"/>
      <c r="AA4" s="8"/>
    </row>
    <row r="5" spans="1:27" ht="47.25" hidden="1">
      <c r="A5" s="8" t="s">
        <v>53</v>
      </c>
      <c r="B5" s="29" t="s">
        <v>54</v>
      </c>
      <c r="C5" s="8" t="s">
        <v>55</v>
      </c>
      <c r="D5" s="8" t="s">
        <v>63</v>
      </c>
      <c r="E5" s="69" t="s">
        <v>64</v>
      </c>
      <c r="F5" s="8" t="s">
        <v>2592</v>
      </c>
      <c r="G5" s="8" t="s">
        <v>62</v>
      </c>
      <c r="H5" s="8" t="s">
        <v>59</v>
      </c>
      <c r="I5" s="9">
        <v>1</v>
      </c>
      <c r="J5" s="9" t="s">
        <v>1090</v>
      </c>
      <c r="K5" s="9"/>
      <c r="L5" s="283"/>
      <c r="M5" s="9"/>
      <c r="N5" s="9"/>
      <c r="O5" s="281"/>
      <c r="P5" s="8"/>
      <c r="Q5" s="282"/>
      <c r="R5" s="37"/>
      <c r="S5" s="9"/>
      <c r="T5" s="9"/>
      <c r="U5" s="9"/>
      <c r="V5" s="9"/>
      <c r="W5" s="9"/>
      <c r="X5" s="9"/>
      <c r="Y5" s="9"/>
      <c r="Z5" s="9"/>
      <c r="AA5" s="8"/>
    </row>
    <row r="6" spans="1:27" ht="47.25" hidden="1">
      <c r="A6" s="8" t="s">
        <v>53</v>
      </c>
      <c r="B6" s="29" t="s">
        <v>54</v>
      </c>
      <c r="C6" s="8" t="s">
        <v>55</v>
      </c>
      <c r="D6" s="8" t="s">
        <v>65</v>
      </c>
      <c r="E6" s="69" t="s">
        <v>66</v>
      </c>
      <c r="F6" s="8" t="s">
        <v>2592</v>
      </c>
      <c r="G6" s="8" t="s">
        <v>62</v>
      </c>
      <c r="H6" s="8" t="s">
        <v>59</v>
      </c>
      <c r="I6" s="9">
        <v>1</v>
      </c>
      <c r="J6" s="9" t="s">
        <v>1090</v>
      </c>
      <c r="K6" s="9"/>
      <c r="L6" s="283"/>
      <c r="M6" s="9"/>
      <c r="N6" s="9"/>
      <c r="O6" s="281"/>
      <c r="P6" s="8"/>
      <c r="Q6" s="282"/>
      <c r="R6" s="37"/>
      <c r="S6" s="9"/>
      <c r="T6" s="9"/>
      <c r="U6" s="9"/>
      <c r="V6" s="9"/>
      <c r="W6" s="9"/>
      <c r="X6" s="9"/>
      <c r="Y6" s="9"/>
      <c r="Z6" s="9"/>
      <c r="AA6" s="8"/>
    </row>
    <row r="7" spans="1:27" ht="31.5" hidden="1">
      <c r="A7" s="8" t="s">
        <v>53</v>
      </c>
      <c r="B7" s="29" t="s">
        <v>54</v>
      </c>
      <c r="C7" s="8" t="s">
        <v>55</v>
      </c>
      <c r="D7" s="8" t="s">
        <v>67</v>
      </c>
      <c r="E7" s="69" t="s">
        <v>68</v>
      </c>
      <c r="F7" s="8" t="s">
        <v>2590</v>
      </c>
      <c r="G7" s="8" t="s">
        <v>62</v>
      </c>
      <c r="H7" s="8" t="s">
        <v>59</v>
      </c>
      <c r="I7" s="9">
        <v>1</v>
      </c>
      <c r="J7" s="9" t="s">
        <v>8</v>
      </c>
      <c r="K7" s="9"/>
      <c r="L7" s="283"/>
      <c r="M7" s="9" t="s">
        <v>9</v>
      </c>
      <c r="N7" s="9" t="s">
        <v>2593</v>
      </c>
      <c r="O7" s="281"/>
      <c r="P7" s="8"/>
      <c r="Q7" s="282"/>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283"/>
      <c r="M8" s="8"/>
      <c r="N8" s="8"/>
      <c r="O8" s="281"/>
      <c r="P8" s="8"/>
      <c r="Q8" s="132"/>
      <c r="R8" s="38"/>
      <c r="S8" s="8"/>
      <c r="T8" s="8"/>
      <c r="U8" s="8"/>
      <c r="V8" s="8"/>
      <c r="W8" s="8"/>
      <c r="X8" s="8"/>
      <c r="Y8" s="8"/>
      <c r="Z8" s="8"/>
      <c r="AA8" s="8"/>
    </row>
    <row r="9" spans="1:27" ht="283.5" hidden="1">
      <c r="A9" s="8" t="s">
        <v>53</v>
      </c>
      <c r="B9" s="29" t="s">
        <v>54</v>
      </c>
      <c r="C9" s="8" t="s">
        <v>55</v>
      </c>
      <c r="D9" s="8" t="s">
        <v>74</v>
      </c>
      <c r="E9" s="8" t="s">
        <v>75</v>
      </c>
      <c r="F9" s="8"/>
      <c r="G9" s="8" t="s">
        <v>71</v>
      </c>
      <c r="H9" s="8" t="s">
        <v>76</v>
      </c>
      <c r="I9" s="8" t="s">
        <v>77</v>
      </c>
      <c r="J9" s="8"/>
      <c r="K9" s="10"/>
      <c r="L9" s="283"/>
      <c r="M9" s="8"/>
      <c r="N9" s="8"/>
      <c r="O9" s="281"/>
      <c r="P9" s="8"/>
      <c r="Q9" s="132"/>
      <c r="R9" s="38"/>
      <c r="S9" s="8"/>
      <c r="T9" s="8"/>
      <c r="U9" s="8"/>
      <c r="V9" s="8"/>
      <c r="W9" s="8"/>
      <c r="X9" s="8"/>
      <c r="Y9" s="8"/>
      <c r="Z9" s="8"/>
      <c r="AA9" s="8"/>
    </row>
    <row r="10" spans="1:27" ht="47.25" hidden="1">
      <c r="A10" s="8" t="s">
        <v>53</v>
      </c>
      <c r="B10" s="29" t="s">
        <v>54</v>
      </c>
      <c r="C10" s="8" t="s">
        <v>55</v>
      </c>
      <c r="D10" s="8" t="s">
        <v>78</v>
      </c>
      <c r="E10" s="8" t="s">
        <v>79</v>
      </c>
      <c r="F10" s="8" t="s">
        <v>2592</v>
      </c>
      <c r="G10" s="8" t="s">
        <v>62</v>
      </c>
      <c r="H10" s="8" t="s">
        <v>80</v>
      </c>
      <c r="I10" s="8">
        <v>5</v>
      </c>
      <c r="J10" s="8" t="s">
        <v>8</v>
      </c>
      <c r="K10" s="8" t="s">
        <v>2594</v>
      </c>
      <c r="L10" s="283"/>
      <c r="M10" s="8" t="s">
        <v>9</v>
      </c>
      <c r="N10" s="8" t="s">
        <v>2595</v>
      </c>
      <c r="O10" s="281"/>
      <c r="P10" s="8"/>
      <c r="Q10" s="132"/>
      <c r="R10" s="38"/>
      <c r="S10" s="8"/>
      <c r="T10" s="8"/>
      <c r="U10" s="8"/>
      <c r="V10" s="8"/>
      <c r="W10" s="8"/>
      <c r="X10" s="8"/>
      <c r="Y10" s="8"/>
      <c r="Z10" s="8"/>
      <c r="AA10" s="8"/>
    </row>
    <row r="11" spans="1:27" ht="63" hidden="1">
      <c r="A11" s="8" t="s">
        <v>53</v>
      </c>
      <c r="B11" s="29" t="s">
        <v>54</v>
      </c>
      <c r="C11" s="8" t="s">
        <v>81</v>
      </c>
      <c r="D11" s="8" t="s">
        <v>82</v>
      </c>
      <c r="E11" s="8" t="s">
        <v>83</v>
      </c>
      <c r="F11" s="20"/>
      <c r="G11" s="20" t="s">
        <v>62</v>
      </c>
      <c r="H11" s="20" t="s">
        <v>84</v>
      </c>
      <c r="I11" s="20" t="s">
        <v>85</v>
      </c>
      <c r="J11" s="20"/>
      <c r="K11" s="20"/>
      <c r="L11" s="278"/>
      <c r="M11" s="20"/>
      <c r="N11" s="20"/>
      <c r="O11" s="279"/>
      <c r="P11" s="20"/>
      <c r="Q11" s="132"/>
      <c r="R11" s="39"/>
      <c r="S11" s="20"/>
      <c r="T11" s="20"/>
      <c r="U11" s="20"/>
      <c r="V11" s="20"/>
      <c r="W11" s="20"/>
      <c r="X11" s="20"/>
      <c r="Y11" s="20"/>
      <c r="Z11" s="20"/>
      <c r="AA11" s="20"/>
    </row>
    <row r="12" spans="1:27" ht="63" hidden="1">
      <c r="A12" s="8" t="s">
        <v>53</v>
      </c>
      <c r="B12" s="29" t="s">
        <v>54</v>
      </c>
      <c r="C12" s="8" t="s">
        <v>81</v>
      </c>
      <c r="D12" s="8" t="s">
        <v>86</v>
      </c>
      <c r="E12" s="69" t="s">
        <v>87</v>
      </c>
      <c r="F12" s="8" t="s">
        <v>2592</v>
      </c>
      <c r="G12" s="8" t="s">
        <v>62</v>
      </c>
      <c r="H12" s="8" t="s">
        <v>84</v>
      </c>
      <c r="I12" s="8" t="s">
        <v>85</v>
      </c>
      <c r="J12" s="9" t="s">
        <v>1191</v>
      </c>
      <c r="K12" s="8" t="s">
        <v>2596</v>
      </c>
      <c r="L12" s="283"/>
      <c r="M12" s="8" t="s">
        <v>10</v>
      </c>
      <c r="N12" s="8"/>
      <c r="O12" s="281"/>
      <c r="P12" s="8"/>
      <c r="Q12" s="132"/>
      <c r="R12" s="38"/>
      <c r="S12" s="8"/>
      <c r="T12" s="8"/>
      <c r="U12" s="8"/>
      <c r="V12" s="8"/>
      <c r="W12" s="8"/>
      <c r="X12" s="8"/>
      <c r="Y12" s="8"/>
      <c r="Z12" s="8"/>
      <c r="AA12" s="8"/>
    </row>
    <row r="13" spans="1:27" ht="63" hidden="1">
      <c r="A13" s="8" t="s">
        <v>53</v>
      </c>
      <c r="B13" s="29" t="s">
        <v>54</v>
      </c>
      <c r="C13" s="8" t="s">
        <v>81</v>
      </c>
      <c r="D13" s="8" t="s">
        <v>88</v>
      </c>
      <c r="E13" s="69" t="s">
        <v>89</v>
      </c>
      <c r="F13" s="8" t="s">
        <v>2592</v>
      </c>
      <c r="G13" s="8" t="s">
        <v>62</v>
      </c>
      <c r="H13" s="8" t="s">
        <v>84</v>
      </c>
      <c r="I13" s="8" t="s">
        <v>85</v>
      </c>
      <c r="J13" s="8" t="s">
        <v>8</v>
      </c>
      <c r="K13" s="8"/>
      <c r="L13" s="283"/>
      <c r="M13" s="8" t="s">
        <v>10</v>
      </c>
      <c r="N13" s="8"/>
      <c r="O13" s="281"/>
      <c r="P13" s="8"/>
      <c r="Q13" s="132"/>
      <c r="R13" s="38"/>
      <c r="S13" s="8"/>
      <c r="T13" s="8"/>
      <c r="U13" s="8"/>
      <c r="V13" s="8"/>
      <c r="W13" s="8"/>
      <c r="X13" s="8"/>
      <c r="Y13" s="8"/>
      <c r="Z13" s="8"/>
      <c r="AA13" s="8"/>
    </row>
    <row r="14" spans="1:27" ht="63" hidden="1">
      <c r="A14" s="8" t="s">
        <v>53</v>
      </c>
      <c r="B14" s="29" t="s">
        <v>54</v>
      </c>
      <c r="C14" s="8" t="s">
        <v>81</v>
      </c>
      <c r="D14" s="8" t="s">
        <v>90</v>
      </c>
      <c r="E14" s="69" t="s">
        <v>91</v>
      </c>
      <c r="F14" s="8" t="s">
        <v>2592</v>
      </c>
      <c r="G14" s="8" t="s">
        <v>62</v>
      </c>
      <c r="H14" s="8" t="s">
        <v>84</v>
      </c>
      <c r="I14" s="8" t="s">
        <v>85</v>
      </c>
      <c r="J14" s="9" t="s">
        <v>1090</v>
      </c>
      <c r="K14" s="8"/>
      <c r="L14" s="283"/>
      <c r="M14" s="8"/>
      <c r="N14" s="8"/>
      <c r="O14" s="281"/>
      <c r="P14" s="8"/>
      <c r="Q14" s="132"/>
      <c r="R14" s="38"/>
      <c r="S14" s="8"/>
      <c r="T14" s="8"/>
      <c r="U14" s="8"/>
      <c r="V14" s="8"/>
      <c r="W14" s="8"/>
      <c r="X14" s="8"/>
      <c r="Y14" s="8"/>
      <c r="Z14" s="8"/>
      <c r="AA14" s="8"/>
    </row>
    <row r="15" spans="1:27" ht="63" hidden="1">
      <c r="A15" s="8" t="s">
        <v>53</v>
      </c>
      <c r="B15" s="29" t="s">
        <v>54</v>
      </c>
      <c r="C15" s="8" t="s">
        <v>81</v>
      </c>
      <c r="D15" s="8" t="s">
        <v>92</v>
      </c>
      <c r="E15" s="69" t="s">
        <v>93</v>
      </c>
      <c r="F15" s="8" t="s">
        <v>2592</v>
      </c>
      <c r="G15" s="8" t="s">
        <v>62</v>
      </c>
      <c r="H15" s="8" t="s">
        <v>84</v>
      </c>
      <c r="I15" s="8" t="s">
        <v>85</v>
      </c>
      <c r="J15" s="9" t="s">
        <v>1090</v>
      </c>
      <c r="K15" s="8"/>
      <c r="L15" s="283"/>
      <c r="M15" s="8"/>
      <c r="N15" s="8"/>
      <c r="O15" s="281"/>
      <c r="P15" s="8"/>
      <c r="Q15" s="132"/>
      <c r="R15" s="38"/>
      <c r="S15" s="8"/>
      <c r="T15" s="8"/>
      <c r="U15" s="8"/>
      <c r="V15" s="8"/>
      <c r="W15" s="8"/>
      <c r="X15" s="8"/>
      <c r="Y15" s="8"/>
      <c r="Z15" s="8"/>
      <c r="AA15" s="8"/>
    </row>
    <row r="16" spans="1:27" ht="63" hidden="1">
      <c r="A16" s="8" t="s">
        <v>53</v>
      </c>
      <c r="B16" s="29" t="s">
        <v>54</v>
      </c>
      <c r="C16" s="8" t="s">
        <v>81</v>
      </c>
      <c r="D16" s="8" t="s">
        <v>94</v>
      </c>
      <c r="E16" s="69" t="s">
        <v>95</v>
      </c>
      <c r="F16" s="8" t="s">
        <v>2592</v>
      </c>
      <c r="G16" s="8" t="s">
        <v>62</v>
      </c>
      <c r="H16" s="8" t="s">
        <v>84</v>
      </c>
      <c r="I16" s="8" t="s">
        <v>85</v>
      </c>
      <c r="J16" s="8" t="s">
        <v>1191</v>
      </c>
      <c r="K16" s="8" t="s">
        <v>2597</v>
      </c>
      <c r="L16" s="283"/>
      <c r="M16" s="8" t="s">
        <v>10</v>
      </c>
      <c r="N16" s="8"/>
      <c r="O16" s="281"/>
      <c r="P16" s="8"/>
      <c r="Q16" s="132"/>
      <c r="R16" s="38"/>
      <c r="S16" s="8"/>
      <c r="T16" s="8"/>
      <c r="U16" s="8"/>
      <c r="V16" s="8"/>
      <c r="W16" s="8"/>
      <c r="X16" s="8"/>
      <c r="Y16" s="8"/>
      <c r="Z16" s="8"/>
      <c r="AA16" s="8"/>
    </row>
    <row r="17" spans="1:27" ht="63" hidden="1">
      <c r="A17" s="8" t="s">
        <v>53</v>
      </c>
      <c r="B17" s="29" t="s">
        <v>54</v>
      </c>
      <c r="C17" s="8" t="s">
        <v>81</v>
      </c>
      <c r="D17" s="8" t="s">
        <v>96</v>
      </c>
      <c r="E17" s="69" t="s">
        <v>97</v>
      </c>
      <c r="F17" s="8" t="s">
        <v>2592</v>
      </c>
      <c r="G17" s="8" t="s">
        <v>62</v>
      </c>
      <c r="H17" s="8" t="s">
        <v>84</v>
      </c>
      <c r="I17" s="8" t="s">
        <v>85</v>
      </c>
      <c r="J17" s="9" t="s">
        <v>1090</v>
      </c>
      <c r="K17" s="8"/>
      <c r="L17" s="283"/>
      <c r="M17" s="8"/>
      <c r="N17" s="8"/>
      <c r="O17" s="281"/>
      <c r="P17" s="8"/>
      <c r="Q17" s="132"/>
      <c r="R17" s="38"/>
      <c r="S17" s="8"/>
      <c r="T17" s="8"/>
      <c r="U17" s="8"/>
      <c r="V17" s="8"/>
      <c r="W17" s="8"/>
      <c r="X17" s="8"/>
      <c r="Y17" s="8"/>
      <c r="Z17" s="8"/>
      <c r="AA17" s="8"/>
    </row>
    <row r="18" spans="1:27" ht="63" hidden="1">
      <c r="A18" s="8" t="s">
        <v>53</v>
      </c>
      <c r="B18" s="29" t="s">
        <v>54</v>
      </c>
      <c r="C18" s="8" t="s">
        <v>81</v>
      </c>
      <c r="D18" s="8" t="s">
        <v>98</v>
      </c>
      <c r="E18" s="69" t="s">
        <v>99</v>
      </c>
      <c r="F18" s="8" t="s">
        <v>2590</v>
      </c>
      <c r="G18" s="8" t="s">
        <v>62</v>
      </c>
      <c r="H18" s="8" t="s">
        <v>84</v>
      </c>
      <c r="I18" s="8" t="s">
        <v>85</v>
      </c>
      <c r="J18" s="9" t="s">
        <v>1090</v>
      </c>
      <c r="K18" s="8"/>
      <c r="L18" s="283"/>
      <c r="M18" s="8"/>
      <c r="N18" s="8"/>
      <c r="O18" s="281"/>
      <c r="P18" s="8"/>
      <c r="Q18" s="132"/>
      <c r="R18" s="38"/>
      <c r="S18" s="8"/>
      <c r="T18" s="8"/>
      <c r="U18" s="8"/>
      <c r="V18" s="8"/>
      <c r="W18" s="8"/>
      <c r="X18" s="8"/>
      <c r="Y18" s="8"/>
      <c r="Z18" s="8"/>
      <c r="AA18" s="8"/>
    </row>
    <row r="19" spans="1:27" ht="63" hidden="1">
      <c r="A19" s="8" t="s">
        <v>53</v>
      </c>
      <c r="B19" s="29" t="s">
        <v>54</v>
      </c>
      <c r="C19" s="8" t="s">
        <v>81</v>
      </c>
      <c r="D19" s="8" t="s">
        <v>100</v>
      </c>
      <c r="E19" s="69" t="s">
        <v>101</v>
      </c>
      <c r="F19" s="8" t="s">
        <v>2590</v>
      </c>
      <c r="G19" s="8" t="s">
        <v>62</v>
      </c>
      <c r="H19" s="8" t="s">
        <v>84</v>
      </c>
      <c r="I19" s="8" t="s">
        <v>85</v>
      </c>
      <c r="J19" s="9" t="s">
        <v>1090</v>
      </c>
      <c r="K19" s="8"/>
      <c r="L19" s="283"/>
      <c r="M19" s="8"/>
      <c r="N19" s="8"/>
      <c r="O19" s="281"/>
      <c r="P19" s="8"/>
      <c r="Q19" s="132"/>
      <c r="R19" s="38"/>
      <c r="S19" s="8"/>
      <c r="T19" s="8"/>
      <c r="U19" s="8"/>
      <c r="V19" s="8"/>
      <c r="W19" s="8"/>
      <c r="X19" s="8"/>
      <c r="Y19" s="8"/>
      <c r="Z19" s="8"/>
      <c r="AA19" s="8"/>
    </row>
    <row r="20" spans="1:27" ht="63" hidden="1">
      <c r="A20" s="8" t="s">
        <v>53</v>
      </c>
      <c r="B20" s="29" t="s">
        <v>54</v>
      </c>
      <c r="C20" s="8" t="s">
        <v>81</v>
      </c>
      <c r="D20" s="8" t="s">
        <v>102</v>
      </c>
      <c r="E20" s="69" t="s">
        <v>103</v>
      </c>
      <c r="F20" s="8" t="s">
        <v>2592</v>
      </c>
      <c r="G20" s="8" t="s">
        <v>62</v>
      </c>
      <c r="H20" s="8" t="s">
        <v>84</v>
      </c>
      <c r="I20" s="8" t="s">
        <v>85</v>
      </c>
      <c r="J20" s="8" t="s">
        <v>8</v>
      </c>
      <c r="K20" s="8"/>
      <c r="L20" s="283"/>
      <c r="M20" s="8" t="s">
        <v>10</v>
      </c>
      <c r="N20" s="8"/>
      <c r="O20" s="281"/>
      <c r="P20" s="8"/>
      <c r="Q20" s="132"/>
      <c r="R20" s="38"/>
      <c r="S20" s="8"/>
      <c r="T20" s="8"/>
      <c r="U20" s="8"/>
      <c r="V20" s="8"/>
      <c r="W20" s="8"/>
      <c r="X20" s="8"/>
      <c r="Y20" s="8"/>
      <c r="Z20" s="8"/>
      <c r="AA20" s="8"/>
    </row>
    <row r="21" spans="1:27" ht="142.5" hidden="1" customHeight="1">
      <c r="A21" s="8" t="s">
        <v>53</v>
      </c>
      <c r="B21" s="29" t="s">
        <v>54</v>
      </c>
      <c r="C21" s="8" t="s">
        <v>81</v>
      </c>
      <c r="D21" s="8" t="s">
        <v>104</v>
      </c>
      <c r="E21" s="8" t="s">
        <v>105</v>
      </c>
      <c r="F21" s="8" t="s">
        <v>2592</v>
      </c>
      <c r="G21" s="8" t="s">
        <v>62</v>
      </c>
      <c r="H21" s="8" t="s">
        <v>106</v>
      </c>
      <c r="I21" s="9">
        <v>1</v>
      </c>
      <c r="J21" s="9" t="s">
        <v>1090</v>
      </c>
      <c r="K21" s="11"/>
      <c r="L21" s="283"/>
      <c r="M21" s="9"/>
      <c r="N21" s="9"/>
      <c r="O21" s="281"/>
      <c r="P21" s="8"/>
      <c r="Q21" s="282"/>
      <c r="R21" s="37"/>
      <c r="S21" s="9"/>
      <c r="T21" s="9"/>
      <c r="U21" s="9"/>
      <c r="V21" s="9"/>
      <c r="W21" s="9"/>
      <c r="X21" s="9"/>
      <c r="Y21" s="9"/>
      <c r="Z21" s="9"/>
      <c r="AA21" s="8"/>
    </row>
    <row r="22" spans="1:27" ht="65.25" hidden="1" customHeight="1">
      <c r="A22" s="8" t="s">
        <v>53</v>
      </c>
      <c r="B22" s="29" t="s">
        <v>54</v>
      </c>
      <c r="C22" s="8" t="s">
        <v>81</v>
      </c>
      <c r="D22" s="8" t="s">
        <v>107</v>
      </c>
      <c r="E22" s="8" t="s">
        <v>108</v>
      </c>
      <c r="F22" s="8" t="s">
        <v>2592</v>
      </c>
      <c r="G22" s="8" t="s">
        <v>62</v>
      </c>
      <c r="H22" s="8" t="s">
        <v>109</v>
      </c>
      <c r="I22" s="14" t="s">
        <v>110</v>
      </c>
      <c r="J22" s="8" t="s">
        <v>8</v>
      </c>
      <c r="K22" s="8"/>
      <c r="L22" s="283"/>
      <c r="M22" s="8" t="s">
        <v>12</v>
      </c>
      <c r="N22" s="8" t="s">
        <v>2598</v>
      </c>
      <c r="O22" s="281"/>
      <c r="P22" s="8"/>
      <c r="Q22" s="132"/>
      <c r="R22" s="38"/>
      <c r="S22" s="8"/>
      <c r="T22" s="8"/>
      <c r="U22" s="8"/>
      <c r="V22" s="8"/>
      <c r="W22" s="8"/>
      <c r="X22" s="8"/>
      <c r="Y22" s="8"/>
      <c r="Z22" s="8"/>
      <c r="AA22" s="8"/>
    </row>
    <row r="23" spans="1:27" ht="78.75" hidden="1">
      <c r="A23" s="8" t="s">
        <v>53</v>
      </c>
      <c r="B23" s="29" t="s">
        <v>54</v>
      </c>
      <c r="C23" s="8" t="s">
        <v>81</v>
      </c>
      <c r="D23" s="8" t="s">
        <v>111</v>
      </c>
      <c r="E23" s="8" t="s">
        <v>112</v>
      </c>
      <c r="F23" s="20"/>
      <c r="G23" s="20" t="s">
        <v>62</v>
      </c>
      <c r="H23" s="20" t="s">
        <v>113</v>
      </c>
      <c r="I23" s="22">
        <v>1</v>
      </c>
      <c r="J23" s="22"/>
      <c r="K23" s="20"/>
      <c r="L23" s="278"/>
      <c r="M23" s="22"/>
      <c r="N23" s="22"/>
      <c r="O23" s="279"/>
      <c r="P23" s="20"/>
      <c r="Q23" s="282"/>
      <c r="R23" s="61"/>
      <c r="S23" s="22"/>
      <c r="T23" s="22"/>
      <c r="U23" s="22"/>
      <c r="V23" s="22"/>
      <c r="W23" s="22"/>
      <c r="X23" s="22"/>
      <c r="Y23" s="22"/>
      <c r="Z23" s="22"/>
      <c r="AA23" s="20"/>
    </row>
    <row r="24" spans="1:27" ht="63.75" hidden="1" customHeight="1">
      <c r="A24" s="8" t="s">
        <v>53</v>
      </c>
      <c r="B24" s="29" t="s">
        <v>54</v>
      </c>
      <c r="C24" s="8" t="s">
        <v>81</v>
      </c>
      <c r="D24" s="8" t="s">
        <v>114</v>
      </c>
      <c r="E24" s="69" t="s">
        <v>115</v>
      </c>
      <c r="F24" s="8" t="s">
        <v>2592</v>
      </c>
      <c r="G24" s="8" t="s">
        <v>62</v>
      </c>
      <c r="H24" s="8" t="s">
        <v>113</v>
      </c>
      <c r="I24" s="9">
        <v>1</v>
      </c>
      <c r="J24" s="9" t="s">
        <v>1090</v>
      </c>
      <c r="K24" s="11"/>
      <c r="L24" s="283"/>
      <c r="M24" s="9"/>
      <c r="N24" s="9"/>
      <c r="O24" s="281"/>
      <c r="P24" s="8"/>
      <c r="Q24" s="282"/>
      <c r="R24" s="37"/>
      <c r="S24" s="9"/>
      <c r="T24" s="9"/>
      <c r="U24" s="9"/>
      <c r="V24" s="9"/>
      <c r="W24" s="9"/>
      <c r="X24" s="9"/>
      <c r="Y24" s="9"/>
      <c r="Z24" s="9"/>
      <c r="AA24" s="8"/>
    </row>
    <row r="25" spans="1:27" ht="63" hidden="1">
      <c r="A25" s="8" t="s">
        <v>53</v>
      </c>
      <c r="B25" s="29" t="s">
        <v>54</v>
      </c>
      <c r="C25" s="8" t="s">
        <v>81</v>
      </c>
      <c r="D25" s="8" t="s">
        <v>116</v>
      </c>
      <c r="E25" s="69" t="s">
        <v>117</v>
      </c>
      <c r="F25" s="8" t="s">
        <v>2592</v>
      </c>
      <c r="G25" s="8" t="s">
        <v>62</v>
      </c>
      <c r="H25" s="8" t="s">
        <v>113</v>
      </c>
      <c r="I25" s="9">
        <v>1</v>
      </c>
      <c r="J25" s="9" t="s">
        <v>1090</v>
      </c>
      <c r="K25" s="9"/>
      <c r="L25" s="283"/>
      <c r="M25" s="9"/>
      <c r="N25" s="9"/>
      <c r="O25" s="281"/>
      <c r="P25" s="8"/>
      <c r="Q25" s="282"/>
      <c r="R25" s="37"/>
      <c r="S25" s="9"/>
      <c r="T25" s="9"/>
      <c r="U25" s="9"/>
      <c r="V25" s="9"/>
      <c r="W25" s="9"/>
      <c r="X25" s="9"/>
      <c r="Y25" s="9"/>
      <c r="Z25" s="9"/>
      <c r="AA25" s="8"/>
    </row>
    <row r="26" spans="1:27" ht="63" hidden="1">
      <c r="A26" s="8" t="s">
        <v>53</v>
      </c>
      <c r="B26" s="29" t="s">
        <v>54</v>
      </c>
      <c r="C26" s="8" t="s">
        <v>81</v>
      </c>
      <c r="D26" s="8" t="s">
        <v>118</v>
      </c>
      <c r="E26" s="69" t="s">
        <v>119</v>
      </c>
      <c r="F26" s="8" t="s">
        <v>2592</v>
      </c>
      <c r="G26" s="8" t="s">
        <v>62</v>
      </c>
      <c r="H26" s="8" t="s">
        <v>113</v>
      </c>
      <c r="I26" s="9">
        <v>1</v>
      </c>
      <c r="J26" s="9" t="s">
        <v>1090</v>
      </c>
      <c r="K26" s="9"/>
      <c r="L26" s="283"/>
      <c r="M26" s="9"/>
      <c r="N26" s="9"/>
      <c r="O26" s="281"/>
      <c r="P26" s="8"/>
      <c r="Q26" s="282"/>
      <c r="R26" s="37"/>
      <c r="S26" s="9"/>
      <c r="T26" s="9"/>
      <c r="U26" s="9"/>
      <c r="V26" s="9"/>
      <c r="W26" s="9"/>
      <c r="X26" s="9"/>
      <c r="Y26" s="9"/>
      <c r="Z26" s="9"/>
      <c r="AA26" s="8"/>
    </row>
    <row r="27" spans="1:27" ht="63" hidden="1">
      <c r="A27" s="8" t="s">
        <v>53</v>
      </c>
      <c r="B27" s="29" t="s">
        <v>54</v>
      </c>
      <c r="C27" s="8" t="s">
        <v>81</v>
      </c>
      <c r="D27" s="8" t="s">
        <v>120</v>
      </c>
      <c r="E27" s="69" t="s">
        <v>121</v>
      </c>
      <c r="F27" s="8" t="s">
        <v>2592</v>
      </c>
      <c r="G27" s="8" t="s">
        <v>62</v>
      </c>
      <c r="H27" s="8" t="s">
        <v>113</v>
      </c>
      <c r="I27" s="9">
        <v>1</v>
      </c>
      <c r="J27" s="9" t="s">
        <v>1090</v>
      </c>
      <c r="K27" s="9"/>
      <c r="L27" s="283"/>
      <c r="M27" s="9"/>
      <c r="N27" s="9"/>
      <c r="O27" s="281"/>
      <c r="P27" s="8"/>
      <c r="Q27" s="282"/>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283"/>
      <c r="M28" s="8"/>
      <c r="N28" s="8"/>
      <c r="O28" s="281"/>
      <c r="P28" s="8"/>
      <c r="Q28" s="132"/>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283"/>
      <c r="M29" s="8"/>
      <c r="N29" s="8"/>
      <c r="O29" s="281"/>
      <c r="P29" s="8"/>
      <c r="Q29" s="132"/>
      <c r="R29" s="38"/>
      <c r="S29" s="8"/>
      <c r="T29" s="8"/>
      <c r="U29" s="8"/>
      <c r="V29" s="8"/>
      <c r="W29" s="8"/>
      <c r="X29" s="8"/>
      <c r="Y29" s="8"/>
      <c r="Z29" s="8"/>
      <c r="AA29" s="8"/>
    </row>
    <row r="30" spans="1:27" ht="94.5">
      <c r="A30" s="8" t="s">
        <v>53</v>
      </c>
      <c r="B30" s="29" t="s">
        <v>54</v>
      </c>
      <c r="C30" s="8" t="s">
        <v>128</v>
      </c>
      <c r="D30" s="8" t="s">
        <v>129</v>
      </c>
      <c r="E30" s="315" t="s">
        <v>130</v>
      </c>
      <c r="F30" s="20"/>
      <c r="G30" s="316" t="s">
        <v>131</v>
      </c>
      <c r="H30" s="316"/>
      <c r="I30" s="317"/>
      <c r="J30" s="317"/>
      <c r="K30" s="316"/>
      <c r="L30" s="318"/>
      <c r="M30" s="317"/>
      <c r="N30" s="317"/>
      <c r="O30" s="319"/>
      <c r="P30" s="316"/>
      <c r="Q30" s="320"/>
      <c r="R30" s="321"/>
      <c r="S30" s="317"/>
      <c r="T30" s="317"/>
      <c r="U30" s="317"/>
      <c r="V30" s="317"/>
      <c r="W30" s="317"/>
      <c r="X30" s="317"/>
      <c r="Y30" s="317"/>
      <c r="Z30" s="317"/>
      <c r="AA30" s="316"/>
    </row>
    <row r="31" spans="1:27" ht="47.25">
      <c r="A31" s="8" t="s">
        <v>53</v>
      </c>
      <c r="B31" s="29" t="s">
        <v>54</v>
      </c>
      <c r="C31" s="8" t="s">
        <v>128</v>
      </c>
      <c r="D31" s="8" t="s">
        <v>132</v>
      </c>
      <c r="E31" s="69" t="s">
        <v>133</v>
      </c>
      <c r="F31" s="8" t="s">
        <v>2592</v>
      </c>
      <c r="G31" s="8" t="s">
        <v>131</v>
      </c>
      <c r="H31" s="8" t="s">
        <v>134</v>
      </c>
      <c r="I31" s="8" t="s">
        <v>135</v>
      </c>
      <c r="J31" s="9" t="s">
        <v>1090</v>
      </c>
      <c r="K31" s="8"/>
      <c r="L31" s="283"/>
      <c r="M31" s="8"/>
      <c r="N31" s="8"/>
      <c r="O31" s="281"/>
      <c r="P31" s="8"/>
      <c r="Q31" s="132"/>
      <c r="R31" s="38"/>
      <c r="S31" s="8"/>
      <c r="T31" s="8"/>
      <c r="U31" s="8"/>
      <c r="V31" s="8"/>
      <c r="W31" s="8"/>
      <c r="X31" s="8"/>
      <c r="Y31" s="8"/>
      <c r="Z31" s="8"/>
      <c r="AA31" s="8"/>
    </row>
    <row r="32" spans="1:27" ht="47.25">
      <c r="A32" s="8" t="s">
        <v>53</v>
      </c>
      <c r="B32" s="29" t="s">
        <v>54</v>
      </c>
      <c r="C32" s="8" t="s">
        <v>128</v>
      </c>
      <c r="D32" s="8" t="s">
        <v>136</v>
      </c>
      <c r="E32" s="69" t="s">
        <v>137</v>
      </c>
      <c r="F32" s="8" t="s">
        <v>2592</v>
      </c>
      <c r="G32" s="8" t="s">
        <v>131</v>
      </c>
      <c r="H32" s="8" t="s">
        <v>138</v>
      </c>
      <c r="I32" s="8" t="s">
        <v>139</v>
      </c>
      <c r="J32" s="9" t="s">
        <v>1090</v>
      </c>
      <c r="K32" s="8"/>
      <c r="L32" s="283"/>
      <c r="M32" s="8"/>
      <c r="N32" s="8"/>
      <c r="O32" s="281"/>
      <c r="P32" s="8"/>
      <c r="Q32" s="132"/>
      <c r="R32" s="38"/>
      <c r="S32" s="8"/>
      <c r="T32" s="8"/>
      <c r="U32" s="8"/>
      <c r="V32" s="8"/>
      <c r="W32" s="8"/>
      <c r="X32" s="8"/>
      <c r="Y32" s="8"/>
      <c r="Z32" s="8"/>
      <c r="AA32" s="8"/>
    </row>
    <row r="33" spans="1:27" ht="47.25">
      <c r="A33" s="8" t="s">
        <v>53</v>
      </c>
      <c r="B33" s="29" t="s">
        <v>54</v>
      </c>
      <c r="C33" s="8" t="s">
        <v>128</v>
      </c>
      <c r="D33" s="8" t="s">
        <v>140</v>
      </c>
      <c r="E33" s="69" t="s">
        <v>141</v>
      </c>
      <c r="F33" s="8" t="s">
        <v>2592</v>
      </c>
      <c r="G33" s="8" t="s">
        <v>131</v>
      </c>
      <c r="H33" s="8" t="s">
        <v>142</v>
      </c>
      <c r="I33" s="8" t="s">
        <v>143</v>
      </c>
      <c r="J33" s="9" t="s">
        <v>1090</v>
      </c>
      <c r="K33" s="8"/>
      <c r="L33" s="283"/>
      <c r="M33" s="8"/>
      <c r="N33" s="8"/>
      <c r="O33" s="281"/>
      <c r="P33" s="8"/>
      <c r="Q33" s="132"/>
      <c r="R33" s="38"/>
      <c r="S33" s="8"/>
      <c r="T33" s="8"/>
      <c r="U33" s="8"/>
      <c r="V33" s="8"/>
      <c r="W33" s="8"/>
      <c r="X33" s="8"/>
      <c r="Y33" s="8"/>
      <c r="Z33" s="8"/>
      <c r="AA33" s="8"/>
    </row>
    <row r="34" spans="1:27" ht="31.5">
      <c r="A34" s="8" t="s">
        <v>53</v>
      </c>
      <c r="B34" s="29" t="s">
        <v>54</v>
      </c>
      <c r="C34" s="8" t="s">
        <v>128</v>
      </c>
      <c r="D34" s="8" t="s">
        <v>144</v>
      </c>
      <c r="E34" s="12" t="s">
        <v>145</v>
      </c>
      <c r="F34" s="20"/>
      <c r="G34" s="316" t="s">
        <v>131</v>
      </c>
      <c r="H34" s="316"/>
      <c r="I34" s="317"/>
      <c r="J34" s="317"/>
      <c r="K34" s="316"/>
      <c r="L34" s="318"/>
      <c r="M34" s="317"/>
      <c r="N34" s="317"/>
      <c r="O34" s="319"/>
      <c r="P34" s="316"/>
      <c r="Q34" s="320"/>
      <c r="R34" s="321"/>
      <c r="S34" s="317"/>
      <c r="T34" s="317"/>
      <c r="U34" s="317"/>
      <c r="V34" s="317"/>
      <c r="W34" s="317"/>
      <c r="X34" s="317"/>
      <c r="Y34" s="317"/>
      <c r="Z34" s="317"/>
      <c r="AA34" s="316"/>
    </row>
    <row r="35" spans="1:27" ht="47.25">
      <c r="A35" s="8" t="s">
        <v>53</v>
      </c>
      <c r="B35" s="29" t="s">
        <v>54</v>
      </c>
      <c r="C35" s="8" t="s">
        <v>128</v>
      </c>
      <c r="D35" s="8" t="s">
        <v>146</v>
      </c>
      <c r="E35" s="69" t="s">
        <v>147</v>
      </c>
      <c r="F35" s="8" t="s">
        <v>2592</v>
      </c>
      <c r="G35" s="8" t="s">
        <v>131</v>
      </c>
      <c r="H35" s="12" t="s">
        <v>148</v>
      </c>
      <c r="I35" s="8" t="s">
        <v>149</v>
      </c>
      <c r="J35" s="12" t="s">
        <v>8</v>
      </c>
      <c r="K35" s="12"/>
      <c r="L35" s="284"/>
      <c r="M35" s="12" t="s">
        <v>9</v>
      </c>
      <c r="N35" s="8" t="s">
        <v>2595</v>
      </c>
      <c r="O35" s="285"/>
      <c r="P35" s="8"/>
      <c r="Q35" s="286"/>
      <c r="R35" s="40"/>
      <c r="S35" s="12"/>
      <c r="T35" s="12"/>
      <c r="U35" s="12"/>
      <c r="V35" s="12"/>
      <c r="W35" s="12"/>
      <c r="X35" s="12"/>
      <c r="Y35" s="12"/>
      <c r="Z35" s="12"/>
      <c r="AA35" s="8"/>
    </row>
    <row r="36" spans="1:27" ht="47.25">
      <c r="A36" s="8" t="s">
        <v>53</v>
      </c>
      <c r="B36" s="29" t="s">
        <v>54</v>
      </c>
      <c r="C36" s="8" t="s">
        <v>128</v>
      </c>
      <c r="D36" s="8" t="s">
        <v>150</v>
      </c>
      <c r="E36" s="69" t="s">
        <v>151</v>
      </c>
      <c r="F36" s="8" t="s">
        <v>2592</v>
      </c>
      <c r="G36" s="8" t="s">
        <v>131</v>
      </c>
      <c r="H36" s="12" t="s">
        <v>152</v>
      </c>
      <c r="I36" s="8" t="s">
        <v>153</v>
      </c>
      <c r="J36" s="9" t="s">
        <v>1090</v>
      </c>
      <c r="K36" s="8"/>
      <c r="L36" s="283"/>
      <c r="M36" s="8"/>
      <c r="N36" s="8"/>
      <c r="O36" s="281"/>
      <c r="P36" s="8"/>
      <c r="Q36" s="132"/>
      <c r="R36" s="38"/>
      <c r="S36" s="8"/>
      <c r="T36" s="8"/>
      <c r="U36" s="8"/>
      <c r="V36" s="8"/>
      <c r="W36" s="8"/>
      <c r="X36" s="8"/>
      <c r="Y36" s="8"/>
      <c r="Z36" s="8"/>
      <c r="AA36" s="8"/>
    </row>
    <row r="37" spans="1:27" ht="47.25">
      <c r="A37" s="8" t="s">
        <v>53</v>
      </c>
      <c r="B37" s="29" t="s">
        <v>54</v>
      </c>
      <c r="C37" s="8" t="s">
        <v>128</v>
      </c>
      <c r="D37" s="8" t="s">
        <v>154</v>
      </c>
      <c r="E37" s="12" t="s">
        <v>155</v>
      </c>
      <c r="F37" s="20"/>
      <c r="G37" s="316" t="s">
        <v>131</v>
      </c>
      <c r="H37" s="316"/>
      <c r="I37" s="317"/>
      <c r="J37" s="317"/>
      <c r="K37" s="316"/>
      <c r="L37" s="318"/>
      <c r="M37" s="317"/>
      <c r="N37" s="317"/>
      <c r="O37" s="319"/>
      <c r="P37" s="316"/>
      <c r="Q37" s="320"/>
      <c r="R37" s="321"/>
      <c r="S37" s="317"/>
      <c r="T37" s="317"/>
      <c r="U37" s="317"/>
      <c r="V37" s="317"/>
      <c r="W37" s="317"/>
      <c r="X37" s="317"/>
      <c r="Y37" s="317"/>
      <c r="Z37" s="317"/>
      <c r="AA37" s="316"/>
    </row>
    <row r="38" spans="1:27" ht="63">
      <c r="A38" s="8" t="s">
        <v>53</v>
      </c>
      <c r="B38" s="29" t="s">
        <v>54</v>
      </c>
      <c r="C38" s="8" t="s">
        <v>128</v>
      </c>
      <c r="D38" s="8" t="s">
        <v>156</v>
      </c>
      <c r="E38" s="69" t="s">
        <v>157</v>
      </c>
      <c r="F38" s="8" t="s">
        <v>2592</v>
      </c>
      <c r="G38" s="8" t="s">
        <v>131</v>
      </c>
      <c r="H38" s="12" t="s">
        <v>158</v>
      </c>
      <c r="I38" s="12" t="s">
        <v>110</v>
      </c>
      <c r="J38" s="9" t="s">
        <v>1090</v>
      </c>
      <c r="K38" s="12"/>
      <c r="L38" s="284"/>
      <c r="M38" s="12"/>
      <c r="N38" s="12"/>
      <c r="O38" s="285"/>
      <c r="P38" s="8"/>
      <c r="Q38" s="286"/>
      <c r="R38" s="40"/>
      <c r="S38" s="12"/>
      <c r="T38" s="12"/>
      <c r="U38" s="12"/>
      <c r="V38" s="12"/>
      <c r="W38" s="12"/>
      <c r="X38" s="12"/>
      <c r="Y38" s="12"/>
      <c r="Z38" s="12"/>
      <c r="AA38" s="8"/>
    </row>
    <row r="39" spans="1:27" ht="63">
      <c r="A39" s="8" t="s">
        <v>53</v>
      </c>
      <c r="B39" s="29" t="s">
        <v>54</v>
      </c>
      <c r="C39" s="8" t="s">
        <v>128</v>
      </c>
      <c r="D39" s="8" t="s">
        <v>159</v>
      </c>
      <c r="E39" s="69" t="s">
        <v>160</v>
      </c>
      <c r="F39" s="8" t="s">
        <v>2592</v>
      </c>
      <c r="G39" s="8" t="s">
        <v>131</v>
      </c>
      <c r="H39" s="12" t="s">
        <v>161</v>
      </c>
      <c r="I39" s="12" t="s">
        <v>162</v>
      </c>
      <c r="J39" s="9" t="s">
        <v>1090</v>
      </c>
      <c r="K39" s="8"/>
      <c r="L39" s="283"/>
      <c r="M39" s="8"/>
      <c r="N39" s="8"/>
      <c r="O39" s="281"/>
      <c r="P39" s="8"/>
      <c r="Q39" s="132"/>
      <c r="R39" s="38"/>
      <c r="S39" s="8"/>
      <c r="T39" s="8"/>
      <c r="U39" s="8"/>
      <c r="V39" s="8"/>
      <c r="W39" s="8"/>
      <c r="X39" s="8"/>
      <c r="Y39" s="8"/>
      <c r="Z39" s="8"/>
      <c r="AA39" s="8"/>
    </row>
    <row r="40" spans="1:27" ht="78.75">
      <c r="A40" s="8" t="s">
        <v>53</v>
      </c>
      <c r="B40" s="29" t="s">
        <v>54</v>
      </c>
      <c r="C40" s="8" t="s">
        <v>128</v>
      </c>
      <c r="D40" s="8" t="s">
        <v>163</v>
      </c>
      <c r="E40" s="69" t="s">
        <v>164</v>
      </c>
      <c r="F40" s="8" t="s">
        <v>2592</v>
      </c>
      <c r="G40" s="8" t="s">
        <v>131</v>
      </c>
      <c r="H40" s="12" t="s">
        <v>165</v>
      </c>
      <c r="I40" s="12" t="s">
        <v>166</v>
      </c>
      <c r="J40" s="9" t="s">
        <v>1090</v>
      </c>
      <c r="K40" s="12"/>
      <c r="L40" s="284"/>
      <c r="M40" s="12"/>
      <c r="N40" s="12"/>
      <c r="O40" s="285"/>
      <c r="P40" s="8"/>
      <c r="Q40" s="286"/>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287"/>
      <c r="M41" s="13"/>
      <c r="N41" s="13"/>
      <c r="O41" s="288"/>
      <c r="P41" s="8"/>
      <c r="Q41" s="286"/>
      <c r="R41" s="41"/>
      <c r="S41" s="13"/>
      <c r="T41" s="13"/>
      <c r="U41" s="13"/>
      <c r="V41" s="13"/>
      <c r="W41" s="13"/>
      <c r="X41" s="13"/>
      <c r="Y41" s="13"/>
      <c r="Z41" s="13"/>
      <c r="AA41" s="8"/>
    </row>
    <row r="42" spans="1:27" ht="94.5">
      <c r="A42" s="8" t="s">
        <v>53</v>
      </c>
      <c r="B42" s="29" t="s">
        <v>54</v>
      </c>
      <c r="C42" s="8" t="s">
        <v>128</v>
      </c>
      <c r="D42" s="8" t="s">
        <v>170</v>
      </c>
      <c r="E42" s="12" t="s">
        <v>171</v>
      </c>
      <c r="F42" s="8"/>
      <c r="G42" s="8" t="s">
        <v>62</v>
      </c>
      <c r="H42" s="12"/>
      <c r="I42" s="12"/>
      <c r="J42" s="12"/>
      <c r="K42" s="13"/>
      <c r="L42" s="287"/>
      <c r="M42" s="13"/>
      <c r="N42" s="13"/>
      <c r="O42" s="288"/>
      <c r="P42" s="8"/>
      <c r="Q42" s="286"/>
      <c r="R42" s="41"/>
      <c r="S42" s="13"/>
      <c r="T42" s="13"/>
      <c r="U42" s="13"/>
      <c r="V42" s="13"/>
      <c r="W42" s="13"/>
      <c r="X42" s="13"/>
      <c r="Y42" s="13"/>
      <c r="Z42" s="13"/>
      <c r="AA42" s="8"/>
    </row>
    <row r="43" spans="1:27" ht="47.25">
      <c r="A43" s="8" t="s">
        <v>53</v>
      </c>
      <c r="B43" s="29" t="s">
        <v>54</v>
      </c>
      <c r="C43" s="8" t="s">
        <v>128</v>
      </c>
      <c r="D43" s="8" t="s">
        <v>172</v>
      </c>
      <c r="E43" s="69" t="s">
        <v>173</v>
      </c>
      <c r="F43" s="8" t="s">
        <v>2592</v>
      </c>
      <c r="G43" s="8" t="s">
        <v>62</v>
      </c>
      <c r="H43" s="12" t="s">
        <v>174</v>
      </c>
      <c r="I43" s="12" t="s">
        <v>175</v>
      </c>
      <c r="J43" s="12" t="s">
        <v>8</v>
      </c>
      <c r="K43" s="13"/>
      <c r="L43" s="287"/>
      <c r="M43" s="12" t="s">
        <v>12</v>
      </c>
      <c r="N43" s="8" t="s">
        <v>2599</v>
      </c>
      <c r="O43" s="288"/>
      <c r="P43" s="8"/>
      <c r="Q43" s="286"/>
      <c r="R43" s="41"/>
      <c r="S43" s="13"/>
      <c r="T43" s="13"/>
      <c r="U43" s="13"/>
      <c r="V43" s="13"/>
      <c r="W43" s="13"/>
      <c r="X43" s="13"/>
      <c r="Y43" s="13"/>
      <c r="Z43" s="13"/>
      <c r="AA43" s="8"/>
    </row>
    <row r="44" spans="1:27" ht="63">
      <c r="A44" s="8" t="s">
        <v>53</v>
      </c>
      <c r="B44" s="29" t="s">
        <v>54</v>
      </c>
      <c r="C44" s="8" t="s">
        <v>128</v>
      </c>
      <c r="D44" s="8" t="s">
        <v>176</v>
      </c>
      <c r="E44" s="69" t="s">
        <v>177</v>
      </c>
      <c r="F44" s="8" t="s">
        <v>2592</v>
      </c>
      <c r="G44" s="8" t="s">
        <v>62</v>
      </c>
      <c r="H44" s="12" t="s">
        <v>178</v>
      </c>
      <c r="I44" s="12" t="s">
        <v>179</v>
      </c>
      <c r="J44" s="8" t="s">
        <v>8</v>
      </c>
      <c r="K44" s="14" t="s">
        <v>2600</v>
      </c>
      <c r="L44" s="289"/>
      <c r="M44" s="14"/>
      <c r="N44" s="14"/>
      <c r="O44" s="290"/>
      <c r="P44" s="8"/>
      <c r="Q44" s="132"/>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287"/>
      <c r="M45" s="16"/>
      <c r="N45" s="16"/>
      <c r="O45" s="288"/>
      <c r="P45" s="8"/>
      <c r="Q45" s="291"/>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287"/>
      <c r="M46" s="16"/>
      <c r="N46" s="16"/>
      <c r="O46" s="288"/>
      <c r="P46" s="8"/>
      <c r="Q46" s="291"/>
      <c r="R46" s="43"/>
      <c r="S46" s="16"/>
      <c r="T46" s="16"/>
      <c r="U46" s="16"/>
      <c r="V46" s="16"/>
      <c r="W46" s="16"/>
      <c r="X46" s="16"/>
      <c r="Y46" s="16"/>
      <c r="Z46" s="16"/>
      <c r="AA46" s="8"/>
    </row>
    <row r="47" spans="1:27" ht="47.25">
      <c r="A47" s="8" t="s">
        <v>53</v>
      </c>
      <c r="B47" s="29" t="s">
        <v>54</v>
      </c>
      <c r="C47" s="8" t="s">
        <v>128</v>
      </c>
      <c r="D47" s="8" t="s">
        <v>185</v>
      </c>
      <c r="E47" s="12" t="s">
        <v>186</v>
      </c>
      <c r="F47" s="8" t="s">
        <v>2592</v>
      </c>
      <c r="G47" s="8" t="s">
        <v>62</v>
      </c>
      <c r="H47" s="12" t="s">
        <v>187</v>
      </c>
      <c r="I47" s="8" t="s">
        <v>188</v>
      </c>
      <c r="J47" s="12" t="s">
        <v>1090</v>
      </c>
      <c r="K47" s="13" t="s">
        <v>2601</v>
      </c>
      <c r="L47" s="287"/>
      <c r="M47" s="13"/>
      <c r="N47" s="13"/>
      <c r="O47" s="288"/>
      <c r="P47" s="8"/>
      <c r="Q47" s="286"/>
      <c r="R47" s="41"/>
      <c r="S47" s="13"/>
      <c r="T47" s="13"/>
      <c r="U47" s="13"/>
      <c r="V47" s="13"/>
      <c r="W47" s="13"/>
      <c r="X47" s="13"/>
      <c r="Y47" s="13"/>
      <c r="Z47" s="13"/>
      <c r="AA47" s="8"/>
    </row>
    <row r="48" spans="1:27" ht="47.25">
      <c r="A48" s="8" t="s">
        <v>53</v>
      </c>
      <c r="B48" s="29" t="s">
        <v>54</v>
      </c>
      <c r="C48" s="8" t="s">
        <v>128</v>
      </c>
      <c r="D48" s="8" t="s">
        <v>189</v>
      </c>
      <c r="E48" s="12" t="s">
        <v>190</v>
      </c>
      <c r="F48" s="8" t="s">
        <v>2590</v>
      </c>
      <c r="G48" s="8" t="s">
        <v>62</v>
      </c>
      <c r="H48" s="12" t="s">
        <v>191</v>
      </c>
      <c r="I48" s="12" t="s">
        <v>192</v>
      </c>
      <c r="J48" s="12" t="s">
        <v>8</v>
      </c>
      <c r="K48" s="14" t="s">
        <v>2600</v>
      </c>
      <c r="L48" s="287"/>
      <c r="M48" s="13"/>
      <c r="N48" s="13"/>
      <c r="O48" s="288"/>
      <c r="P48" s="8"/>
      <c r="Q48" s="286"/>
      <c r="R48" s="41"/>
      <c r="S48" s="13"/>
      <c r="T48" s="13"/>
      <c r="U48" s="13"/>
      <c r="V48" s="13"/>
      <c r="W48" s="13"/>
      <c r="X48" s="13"/>
      <c r="Y48" s="13"/>
      <c r="Z48" s="13"/>
      <c r="AA48" s="8"/>
    </row>
    <row r="49" spans="1:27" ht="47.25">
      <c r="A49" s="8" t="s">
        <v>53</v>
      </c>
      <c r="B49" s="29" t="s">
        <v>54</v>
      </c>
      <c r="C49" s="8" t="s">
        <v>128</v>
      </c>
      <c r="D49" s="8" t="s">
        <v>193</v>
      </c>
      <c r="E49" s="12" t="s">
        <v>190</v>
      </c>
      <c r="F49" s="8" t="s">
        <v>2590</v>
      </c>
      <c r="G49" s="8" t="s">
        <v>62</v>
      </c>
      <c r="H49" s="12" t="s">
        <v>194</v>
      </c>
      <c r="I49" s="12" t="s">
        <v>135</v>
      </c>
      <c r="J49" s="8" t="s">
        <v>1090</v>
      </c>
      <c r="K49" s="14" t="s">
        <v>2602</v>
      </c>
      <c r="L49" s="289"/>
      <c r="M49" s="14"/>
      <c r="N49" s="14"/>
      <c r="O49" s="290"/>
      <c r="P49" s="8"/>
      <c r="Q49" s="132"/>
      <c r="R49" s="42"/>
      <c r="S49" s="14"/>
      <c r="T49" s="14"/>
      <c r="U49" s="14"/>
      <c r="V49" s="14"/>
      <c r="W49" s="14"/>
      <c r="X49" s="14"/>
      <c r="Y49" s="14"/>
      <c r="Z49" s="14"/>
      <c r="AA49" s="8"/>
    </row>
    <row r="50" spans="1:27" ht="110.25" hidden="1">
      <c r="A50" s="8" t="s">
        <v>53</v>
      </c>
      <c r="B50" s="29" t="s">
        <v>195</v>
      </c>
      <c r="C50" s="8" t="s">
        <v>196</v>
      </c>
      <c r="D50" s="8" t="s">
        <v>197</v>
      </c>
      <c r="E50" s="8" t="s">
        <v>198</v>
      </c>
      <c r="F50" s="20"/>
      <c r="G50" s="316" t="s">
        <v>62</v>
      </c>
      <c r="H50" s="316"/>
      <c r="I50" s="317"/>
      <c r="J50" s="317"/>
      <c r="K50" s="316"/>
      <c r="L50" s="318"/>
      <c r="M50" s="317"/>
      <c r="N50" s="317"/>
      <c r="O50" s="319"/>
      <c r="P50" s="316"/>
      <c r="Q50" s="320"/>
      <c r="R50" s="321"/>
      <c r="S50" s="317"/>
      <c r="T50" s="317"/>
      <c r="U50" s="317"/>
      <c r="V50" s="317"/>
      <c r="W50" s="317"/>
      <c r="X50" s="317"/>
      <c r="Y50" s="317"/>
      <c r="Z50" s="317"/>
      <c r="AA50" s="316"/>
    </row>
    <row r="51" spans="1:27" ht="63" hidden="1">
      <c r="A51" s="8" t="s">
        <v>53</v>
      </c>
      <c r="B51" s="29" t="s">
        <v>195</v>
      </c>
      <c r="C51" s="8" t="s">
        <v>196</v>
      </c>
      <c r="D51" s="8" t="s">
        <v>199</v>
      </c>
      <c r="E51" s="69" t="s">
        <v>200</v>
      </c>
      <c r="F51" s="8" t="s">
        <v>2592</v>
      </c>
      <c r="G51" s="8" t="s">
        <v>62</v>
      </c>
      <c r="H51" s="8" t="s">
        <v>201</v>
      </c>
      <c r="I51" s="15">
        <v>1</v>
      </c>
      <c r="J51" s="12" t="s">
        <v>1090</v>
      </c>
      <c r="K51" s="9"/>
      <c r="L51" s="283"/>
      <c r="M51" s="9"/>
      <c r="N51" s="9"/>
      <c r="O51" s="281"/>
      <c r="P51" s="8"/>
      <c r="Q51" s="282"/>
      <c r="R51" s="37"/>
      <c r="S51" s="9"/>
      <c r="T51" s="9"/>
      <c r="U51" s="9"/>
      <c r="V51" s="9"/>
      <c r="W51" s="9"/>
      <c r="X51" s="9"/>
      <c r="Y51" s="9"/>
      <c r="Z51" s="9"/>
      <c r="AA51" s="8"/>
    </row>
    <row r="52" spans="1:27" ht="34.5" hidden="1" customHeight="1">
      <c r="A52" s="8" t="s">
        <v>53</v>
      </c>
      <c r="B52" s="29" t="s">
        <v>195</v>
      </c>
      <c r="C52" s="8" t="s">
        <v>196</v>
      </c>
      <c r="D52" s="8" t="s">
        <v>202</v>
      </c>
      <c r="E52" s="69" t="s">
        <v>203</v>
      </c>
      <c r="F52" s="8" t="s">
        <v>2592</v>
      </c>
      <c r="G52" s="8" t="s">
        <v>62</v>
      </c>
      <c r="H52" s="8" t="s">
        <v>204</v>
      </c>
      <c r="I52" s="15">
        <v>1</v>
      </c>
      <c r="J52" s="12" t="s">
        <v>1090</v>
      </c>
      <c r="K52" s="8"/>
      <c r="L52" s="283"/>
      <c r="M52" s="8"/>
      <c r="N52" s="8"/>
      <c r="O52" s="281"/>
      <c r="P52" s="8"/>
      <c r="Q52" s="132"/>
      <c r="R52" s="38"/>
      <c r="S52" s="8"/>
      <c r="T52" s="8"/>
      <c r="U52" s="8"/>
      <c r="V52" s="8"/>
      <c r="W52" s="8"/>
      <c r="X52" s="8"/>
      <c r="Y52" s="8"/>
      <c r="Z52" s="8"/>
      <c r="AA52" s="8"/>
    </row>
    <row r="53" spans="1:27" ht="47.25" hidden="1">
      <c r="A53" s="8" t="s">
        <v>53</v>
      </c>
      <c r="B53" s="29" t="s">
        <v>195</v>
      </c>
      <c r="C53" s="8" t="s">
        <v>196</v>
      </c>
      <c r="D53" s="8" t="s">
        <v>205</v>
      </c>
      <c r="E53" s="8" t="s">
        <v>206</v>
      </c>
      <c r="F53" s="20"/>
      <c r="G53" s="316" t="s">
        <v>62</v>
      </c>
      <c r="H53" s="316"/>
      <c r="I53" s="317"/>
      <c r="J53" s="317"/>
      <c r="K53" s="316"/>
      <c r="L53" s="318"/>
      <c r="M53" s="317"/>
      <c r="N53" s="317"/>
      <c r="O53" s="319"/>
      <c r="P53" s="316"/>
      <c r="Q53" s="320"/>
      <c r="R53" s="321"/>
      <c r="S53" s="317"/>
      <c r="T53" s="317"/>
      <c r="U53" s="317"/>
      <c r="V53" s="317"/>
      <c r="W53" s="317"/>
      <c r="X53" s="317"/>
      <c r="Y53" s="317"/>
      <c r="Z53" s="317"/>
      <c r="AA53" s="316"/>
    </row>
    <row r="54" spans="1:27" ht="63" hidden="1">
      <c r="A54" s="8" t="s">
        <v>53</v>
      </c>
      <c r="B54" s="29" t="s">
        <v>195</v>
      </c>
      <c r="C54" s="8" t="s">
        <v>196</v>
      </c>
      <c r="D54" s="8" t="s">
        <v>207</v>
      </c>
      <c r="E54" s="69" t="s">
        <v>208</v>
      </c>
      <c r="F54" s="8" t="s">
        <v>2592</v>
      </c>
      <c r="G54" s="8" t="s">
        <v>62</v>
      </c>
      <c r="H54" s="8" t="s">
        <v>209</v>
      </c>
      <c r="I54" s="8" t="s">
        <v>210</v>
      </c>
      <c r="J54" s="12" t="s">
        <v>1090</v>
      </c>
      <c r="K54" s="8" t="s">
        <v>2603</v>
      </c>
      <c r="L54" s="283"/>
      <c r="M54" s="8"/>
      <c r="N54" s="8"/>
      <c r="O54" s="281"/>
      <c r="P54" s="8"/>
      <c r="Q54" s="132"/>
      <c r="R54" s="38"/>
      <c r="S54" s="8"/>
      <c r="T54" s="8"/>
      <c r="U54" s="8"/>
      <c r="V54" s="8"/>
      <c r="W54" s="8"/>
      <c r="X54" s="8"/>
      <c r="Y54" s="8"/>
      <c r="Z54" s="8"/>
      <c r="AA54" s="8"/>
    </row>
    <row r="55" spans="1:27" ht="94.5" hidden="1">
      <c r="A55" s="8" t="s">
        <v>53</v>
      </c>
      <c r="B55" s="29" t="s">
        <v>195</v>
      </c>
      <c r="C55" s="8" t="s">
        <v>196</v>
      </c>
      <c r="D55" s="8" t="s">
        <v>211</v>
      </c>
      <c r="E55" s="69" t="s">
        <v>212</v>
      </c>
      <c r="F55" s="8" t="s">
        <v>2592</v>
      </c>
      <c r="G55" s="8" t="s">
        <v>62</v>
      </c>
      <c r="H55" s="8" t="s">
        <v>213</v>
      </c>
      <c r="I55" s="8" t="s">
        <v>214</v>
      </c>
      <c r="J55" s="12" t="s">
        <v>1090</v>
      </c>
      <c r="K55" s="8" t="s">
        <v>2604</v>
      </c>
      <c r="L55" s="283"/>
      <c r="M55" s="8"/>
      <c r="N55" s="8"/>
      <c r="O55" s="281"/>
      <c r="P55" s="8"/>
      <c r="Q55" s="132"/>
      <c r="R55" s="38"/>
      <c r="S55" s="8"/>
      <c r="T55" s="8"/>
      <c r="U55" s="8"/>
      <c r="V55" s="8"/>
      <c r="W55" s="8"/>
      <c r="X55" s="8"/>
      <c r="Y55" s="8"/>
      <c r="Z55" s="8"/>
      <c r="AA55" s="8"/>
    </row>
    <row r="56" spans="1:27" ht="47.25" hidden="1">
      <c r="A56" s="8" t="s">
        <v>53</v>
      </c>
      <c r="B56" s="29" t="s">
        <v>195</v>
      </c>
      <c r="C56" s="8" t="s">
        <v>196</v>
      </c>
      <c r="D56" s="8" t="s">
        <v>215</v>
      </c>
      <c r="E56" s="8" t="s">
        <v>216</v>
      </c>
      <c r="F56" s="8" t="s">
        <v>2592</v>
      </c>
      <c r="G56" s="8" t="s">
        <v>62</v>
      </c>
      <c r="H56" s="8" t="s">
        <v>217</v>
      </c>
      <c r="I56" s="8" t="s">
        <v>214</v>
      </c>
      <c r="J56" s="12" t="s">
        <v>1090</v>
      </c>
      <c r="K56" s="8" t="s">
        <v>2604</v>
      </c>
      <c r="L56" s="283"/>
      <c r="M56" s="8"/>
      <c r="N56" s="8"/>
      <c r="O56" s="281"/>
      <c r="P56" s="8"/>
      <c r="Q56" s="132"/>
      <c r="R56" s="38"/>
      <c r="S56" s="8"/>
      <c r="T56" s="8"/>
      <c r="U56" s="8"/>
      <c r="V56" s="8"/>
      <c r="W56" s="8"/>
      <c r="X56" s="8"/>
      <c r="Y56" s="8"/>
      <c r="Z56" s="8"/>
      <c r="AA56" s="8"/>
    </row>
    <row r="57" spans="1:27" ht="47.25" hidden="1">
      <c r="A57" s="8" t="s">
        <v>53</v>
      </c>
      <c r="B57" s="29" t="s">
        <v>195</v>
      </c>
      <c r="C57" s="8" t="s">
        <v>196</v>
      </c>
      <c r="D57" s="8" t="s">
        <v>218</v>
      </c>
      <c r="E57" s="8" t="s">
        <v>219</v>
      </c>
      <c r="F57" s="8" t="s">
        <v>2592</v>
      </c>
      <c r="G57" s="8" t="s">
        <v>62</v>
      </c>
      <c r="H57" s="8" t="s">
        <v>220</v>
      </c>
      <c r="I57" s="8" t="s">
        <v>221</v>
      </c>
      <c r="J57" s="8" t="s">
        <v>8</v>
      </c>
      <c r="K57" s="8" t="s">
        <v>2605</v>
      </c>
      <c r="L57" s="283"/>
      <c r="M57" s="8" t="s">
        <v>12</v>
      </c>
      <c r="N57" s="8"/>
      <c r="O57" s="281"/>
      <c r="P57" s="8"/>
      <c r="Q57" s="132"/>
      <c r="R57" s="38"/>
      <c r="S57" s="8"/>
      <c r="T57" s="8"/>
      <c r="U57" s="8"/>
      <c r="V57" s="8"/>
      <c r="W57" s="8"/>
      <c r="X57" s="8"/>
      <c r="Y57" s="8"/>
      <c r="Z57" s="8"/>
      <c r="AA57" s="8"/>
    </row>
    <row r="58" spans="1:27" ht="63" hidden="1">
      <c r="A58" s="8" t="s">
        <v>53</v>
      </c>
      <c r="B58" s="29" t="s">
        <v>195</v>
      </c>
      <c r="C58" s="8" t="s">
        <v>222</v>
      </c>
      <c r="D58" s="8" t="s">
        <v>223</v>
      </c>
      <c r="E58" s="8" t="s">
        <v>224</v>
      </c>
      <c r="F58" s="20"/>
      <c r="G58" s="316" t="s">
        <v>62</v>
      </c>
      <c r="H58" s="316" t="s">
        <v>225</v>
      </c>
      <c r="I58" s="317" t="s">
        <v>226</v>
      </c>
      <c r="J58" s="317"/>
      <c r="K58" s="316"/>
      <c r="L58" s="318"/>
      <c r="M58" s="317"/>
      <c r="N58" s="317"/>
      <c r="O58" s="319"/>
      <c r="P58" s="316"/>
      <c r="Q58" s="320"/>
      <c r="R58" s="321"/>
      <c r="S58" s="317"/>
      <c r="T58" s="317"/>
      <c r="U58" s="317"/>
      <c r="V58" s="317"/>
      <c r="W58" s="317"/>
      <c r="X58" s="317"/>
      <c r="Y58" s="317"/>
      <c r="Z58" s="317"/>
      <c r="AA58" s="316"/>
    </row>
    <row r="59" spans="1:27" ht="63" hidden="1">
      <c r="A59" s="8" t="s">
        <v>53</v>
      </c>
      <c r="B59" s="29" t="s">
        <v>195</v>
      </c>
      <c r="C59" s="8" t="s">
        <v>222</v>
      </c>
      <c r="D59" s="8" t="s">
        <v>227</v>
      </c>
      <c r="E59" s="69" t="s">
        <v>228</v>
      </c>
      <c r="F59" s="8" t="s">
        <v>2592</v>
      </c>
      <c r="G59" s="8" t="s">
        <v>62</v>
      </c>
      <c r="H59" s="8" t="s">
        <v>229</v>
      </c>
      <c r="I59" s="8" t="s">
        <v>226</v>
      </c>
      <c r="J59" s="12" t="s">
        <v>1090</v>
      </c>
      <c r="K59" s="8"/>
      <c r="L59" s="283"/>
      <c r="M59" s="8"/>
      <c r="N59" s="8"/>
      <c r="O59" s="281"/>
      <c r="P59" s="8"/>
      <c r="Q59" s="132"/>
      <c r="R59" s="38"/>
      <c r="S59" s="8"/>
      <c r="T59" s="8"/>
      <c r="U59" s="8"/>
      <c r="V59" s="8"/>
      <c r="W59" s="8"/>
      <c r="X59" s="8"/>
      <c r="Y59" s="8"/>
      <c r="Z59" s="8"/>
      <c r="AA59" s="8"/>
    </row>
    <row r="60" spans="1:27" ht="79.5" hidden="1" customHeight="1">
      <c r="A60" s="8" t="s">
        <v>53</v>
      </c>
      <c r="B60" s="29" t="s">
        <v>195</v>
      </c>
      <c r="C60" s="8" t="s">
        <v>222</v>
      </c>
      <c r="D60" s="8" t="s">
        <v>230</v>
      </c>
      <c r="E60" s="69" t="s">
        <v>231</v>
      </c>
      <c r="F60" s="8" t="s">
        <v>2592</v>
      </c>
      <c r="G60" s="8" t="s">
        <v>62</v>
      </c>
      <c r="H60" s="8" t="s">
        <v>232</v>
      </c>
      <c r="I60" s="8" t="s">
        <v>226</v>
      </c>
      <c r="J60" s="8" t="s">
        <v>1191</v>
      </c>
      <c r="K60" s="8" t="s">
        <v>2606</v>
      </c>
      <c r="L60" s="283"/>
      <c r="M60" s="8" t="s">
        <v>11</v>
      </c>
      <c r="N60" s="8"/>
      <c r="O60" s="281"/>
      <c r="P60" s="8"/>
      <c r="Q60" s="132"/>
      <c r="R60" s="38"/>
      <c r="S60" s="8"/>
      <c r="T60" s="8"/>
      <c r="U60" s="8"/>
      <c r="V60" s="8"/>
      <c r="W60" s="8"/>
      <c r="X60" s="8"/>
      <c r="Y60" s="8"/>
      <c r="Z60" s="8"/>
      <c r="AA60" s="8"/>
    </row>
    <row r="61" spans="1:27" ht="63" hidden="1">
      <c r="A61" s="8" t="s">
        <v>53</v>
      </c>
      <c r="B61" s="29" t="s">
        <v>195</v>
      </c>
      <c r="C61" s="8" t="s">
        <v>222</v>
      </c>
      <c r="D61" s="8" t="s">
        <v>233</v>
      </c>
      <c r="E61" s="69" t="s">
        <v>234</v>
      </c>
      <c r="F61" s="8" t="s">
        <v>2592</v>
      </c>
      <c r="G61" s="8" t="s">
        <v>62</v>
      </c>
      <c r="H61" s="8" t="s">
        <v>235</v>
      </c>
      <c r="I61" s="8" t="s">
        <v>226</v>
      </c>
      <c r="J61" s="12" t="s">
        <v>1090</v>
      </c>
      <c r="K61" s="8"/>
      <c r="L61" s="283"/>
      <c r="M61" s="8"/>
      <c r="N61" s="8"/>
      <c r="O61" s="281"/>
      <c r="P61" s="8"/>
      <c r="Q61" s="132"/>
      <c r="R61" s="38"/>
      <c r="S61" s="8"/>
      <c r="T61" s="8"/>
      <c r="U61" s="8"/>
      <c r="V61" s="8"/>
      <c r="W61" s="8"/>
      <c r="X61" s="8"/>
      <c r="Y61" s="8"/>
      <c r="Z61" s="8"/>
      <c r="AA61" s="8"/>
    </row>
    <row r="62" spans="1:27" ht="63" hidden="1">
      <c r="A62" s="8" t="s">
        <v>53</v>
      </c>
      <c r="B62" s="29" t="s">
        <v>195</v>
      </c>
      <c r="C62" s="8" t="s">
        <v>222</v>
      </c>
      <c r="D62" s="8" t="s">
        <v>236</v>
      </c>
      <c r="E62" s="69" t="s">
        <v>237</v>
      </c>
      <c r="F62" s="8" t="s">
        <v>2592</v>
      </c>
      <c r="G62" s="8" t="s">
        <v>62</v>
      </c>
      <c r="H62" s="8" t="s">
        <v>238</v>
      </c>
      <c r="I62" s="8" t="s">
        <v>226</v>
      </c>
      <c r="J62" s="8" t="s">
        <v>8</v>
      </c>
      <c r="K62" s="8"/>
      <c r="L62" s="283"/>
      <c r="M62" s="8" t="s">
        <v>11</v>
      </c>
      <c r="N62" s="8"/>
      <c r="O62" s="281"/>
      <c r="P62" s="8"/>
      <c r="Q62" s="132"/>
      <c r="R62" s="38"/>
      <c r="S62" s="8"/>
      <c r="T62" s="8"/>
      <c r="U62" s="8"/>
      <c r="V62" s="8"/>
      <c r="W62" s="8"/>
      <c r="X62" s="8"/>
      <c r="Y62" s="8"/>
      <c r="Z62" s="8"/>
      <c r="AA62" s="8"/>
    </row>
    <row r="63" spans="1:27" ht="63" hidden="1">
      <c r="A63" s="8" t="s">
        <v>53</v>
      </c>
      <c r="B63" s="29" t="s">
        <v>195</v>
      </c>
      <c r="C63" s="8" t="s">
        <v>222</v>
      </c>
      <c r="D63" s="8" t="s">
        <v>239</v>
      </c>
      <c r="E63" s="69" t="s">
        <v>240</v>
      </c>
      <c r="F63" s="8" t="s">
        <v>2592</v>
      </c>
      <c r="G63" s="8" t="s">
        <v>62</v>
      </c>
      <c r="H63" s="8" t="s">
        <v>241</v>
      </c>
      <c r="I63" s="8" t="s">
        <v>226</v>
      </c>
      <c r="J63" s="12" t="s">
        <v>1090</v>
      </c>
      <c r="K63" s="8"/>
      <c r="L63" s="283"/>
      <c r="M63" s="8"/>
      <c r="N63" s="8"/>
      <c r="O63" s="281"/>
      <c r="P63" s="8"/>
      <c r="Q63" s="132"/>
      <c r="R63" s="38"/>
      <c r="S63" s="8"/>
      <c r="T63" s="8"/>
      <c r="U63" s="8"/>
      <c r="V63" s="8"/>
      <c r="W63" s="8"/>
      <c r="X63" s="8"/>
      <c r="Y63" s="8"/>
      <c r="Z63" s="8"/>
      <c r="AA63" s="8"/>
    </row>
    <row r="64" spans="1:27" ht="63" hidden="1">
      <c r="A64" s="8" t="s">
        <v>53</v>
      </c>
      <c r="B64" s="29" t="s">
        <v>195</v>
      </c>
      <c r="C64" s="8" t="s">
        <v>222</v>
      </c>
      <c r="D64" s="8" t="s">
        <v>242</v>
      </c>
      <c r="E64" s="69" t="s">
        <v>243</v>
      </c>
      <c r="F64" s="8" t="s">
        <v>2592</v>
      </c>
      <c r="G64" s="8" t="s">
        <v>62</v>
      </c>
      <c r="H64" s="8" t="s">
        <v>244</v>
      </c>
      <c r="I64" s="8" t="s">
        <v>226</v>
      </c>
      <c r="J64" s="8" t="s">
        <v>1191</v>
      </c>
      <c r="K64" s="8"/>
      <c r="L64" s="283"/>
      <c r="M64" s="8" t="s">
        <v>11</v>
      </c>
      <c r="N64" s="8"/>
      <c r="O64" s="281"/>
      <c r="P64" s="8"/>
      <c r="Q64" s="132"/>
      <c r="R64" s="38"/>
      <c r="S64" s="8"/>
      <c r="T64" s="8"/>
      <c r="U64" s="8"/>
      <c r="V64" s="8"/>
      <c r="W64" s="8"/>
      <c r="X64" s="8"/>
      <c r="Y64" s="8"/>
      <c r="Z64" s="8"/>
      <c r="AA64" s="8"/>
    </row>
    <row r="65" spans="1:27" ht="63" hidden="1">
      <c r="A65" s="8" t="s">
        <v>53</v>
      </c>
      <c r="B65" s="29" t="s">
        <v>195</v>
      </c>
      <c r="C65" s="8" t="s">
        <v>222</v>
      </c>
      <c r="D65" s="8" t="s">
        <v>245</v>
      </c>
      <c r="E65" s="69" t="s">
        <v>246</v>
      </c>
      <c r="F65" s="8" t="s">
        <v>2592</v>
      </c>
      <c r="G65" s="8" t="s">
        <v>62</v>
      </c>
      <c r="H65" s="8" t="s">
        <v>247</v>
      </c>
      <c r="I65" s="8" t="s">
        <v>226</v>
      </c>
      <c r="J65" s="12" t="s">
        <v>1090</v>
      </c>
      <c r="K65" s="8"/>
      <c r="L65" s="283"/>
      <c r="M65" s="8"/>
      <c r="N65" s="8"/>
      <c r="O65" s="281"/>
      <c r="P65" s="8"/>
      <c r="Q65" s="132"/>
      <c r="R65" s="38"/>
      <c r="S65" s="8"/>
      <c r="T65" s="8"/>
      <c r="U65" s="8"/>
      <c r="V65" s="8"/>
      <c r="W65" s="8"/>
      <c r="X65" s="8"/>
      <c r="Y65" s="8"/>
      <c r="Z65" s="8"/>
      <c r="AA65" s="8"/>
    </row>
    <row r="66" spans="1:27" ht="63" hidden="1">
      <c r="A66" s="8" t="s">
        <v>53</v>
      </c>
      <c r="B66" s="29" t="s">
        <v>195</v>
      </c>
      <c r="C66" s="8" t="s">
        <v>222</v>
      </c>
      <c r="D66" s="8" t="s">
        <v>248</v>
      </c>
      <c r="E66" s="69" t="s">
        <v>249</v>
      </c>
      <c r="F66" s="8" t="s">
        <v>2592</v>
      </c>
      <c r="G66" s="8" t="s">
        <v>62</v>
      </c>
      <c r="H66" s="8" t="s">
        <v>250</v>
      </c>
      <c r="I66" s="8" t="s">
        <v>226</v>
      </c>
      <c r="J66" s="8" t="s">
        <v>8</v>
      </c>
      <c r="K66" s="8"/>
      <c r="L66" s="283"/>
      <c r="M66" s="8" t="s">
        <v>11</v>
      </c>
      <c r="N66" s="8"/>
      <c r="O66" s="281"/>
      <c r="P66" s="8"/>
      <c r="Q66" s="132"/>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283"/>
      <c r="M67" s="8"/>
      <c r="N67" s="8"/>
      <c r="O67" s="281"/>
      <c r="P67" s="8"/>
      <c r="Q67" s="132"/>
      <c r="R67" s="38"/>
      <c r="S67" s="8"/>
      <c r="T67" s="8"/>
      <c r="U67" s="8"/>
      <c r="V67" s="8"/>
      <c r="W67" s="8"/>
      <c r="X67" s="8"/>
      <c r="Y67" s="8"/>
      <c r="Z67" s="8"/>
      <c r="AA67" s="8"/>
    </row>
    <row r="68" spans="1:27" ht="47.25" hidden="1">
      <c r="A68" s="8" t="s">
        <v>53</v>
      </c>
      <c r="B68" s="29" t="s">
        <v>195</v>
      </c>
      <c r="C68" s="8" t="s">
        <v>256</v>
      </c>
      <c r="D68" s="8" t="s">
        <v>257</v>
      </c>
      <c r="E68" s="8" t="s">
        <v>258</v>
      </c>
      <c r="F68" s="8" t="s">
        <v>2592</v>
      </c>
      <c r="G68" s="8" t="s">
        <v>62</v>
      </c>
      <c r="H68" s="8" t="s">
        <v>259</v>
      </c>
      <c r="I68" s="8" t="s">
        <v>260</v>
      </c>
      <c r="J68" s="8" t="s">
        <v>1090</v>
      </c>
      <c r="K68" s="8"/>
      <c r="L68" s="283"/>
      <c r="M68" s="8"/>
      <c r="N68" s="8"/>
      <c r="O68" s="281"/>
      <c r="P68" s="8"/>
      <c r="Q68" s="132"/>
      <c r="R68" s="38"/>
      <c r="S68" s="8"/>
      <c r="T68" s="8"/>
      <c r="U68" s="8"/>
      <c r="V68" s="8"/>
      <c r="W68" s="8"/>
      <c r="X68" s="8"/>
      <c r="Y68" s="8"/>
      <c r="Z68" s="8"/>
      <c r="AA68" s="8"/>
    </row>
    <row r="69" spans="1:27" ht="47.25" hidden="1">
      <c r="A69" s="8" t="s">
        <v>53</v>
      </c>
      <c r="B69" s="29" t="s">
        <v>195</v>
      </c>
      <c r="C69" s="8" t="s">
        <v>256</v>
      </c>
      <c r="D69" s="8" t="s">
        <v>261</v>
      </c>
      <c r="E69" s="8" t="s">
        <v>262</v>
      </c>
      <c r="F69" s="8" t="s">
        <v>2592</v>
      </c>
      <c r="G69" s="8" t="s">
        <v>62</v>
      </c>
      <c r="H69" s="8" t="s">
        <v>263</v>
      </c>
      <c r="I69" s="8" t="s">
        <v>260</v>
      </c>
      <c r="J69" s="8" t="s">
        <v>1090</v>
      </c>
      <c r="K69" s="8"/>
      <c r="L69" s="283"/>
      <c r="M69" s="8"/>
      <c r="N69" s="8"/>
      <c r="O69" s="281"/>
      <c r="P69" s="8"/>
      <c r="Q69" s="132"/>
      <c r="R69" s="38"/>
      <c r="S69" s="8"/>
      <c r="T69" s="8"/>
      <c r="U69" s="8"/>
      <c r="V69" s="8"/>
      <c r="W69" s="8"/>
      <c r="X69" s="8"/>
      <c r="Y69" s="8"/>
      <c r="Z69" s="8"/>
      <c r="AA69" s="8"/>
    </row>
    <row r="70" spans="1:27" ht="78.75" hidden="1">
      <c r="A70" s="8" t="s">
        <v>53</v>
      </c>
      <c r="B70" s="29" t="s">
        <v>195</v>
      </c>
      <c r="C70" s="8" t="s">
        <v>256</v>
      </c>
      <c r="D70" s="8" t="s">
        <v>264</v>
      </c>
      <c r="E70" s="8" t="s">
        <v>265</v>
      </c>
      <c r="F70" s="8" t="s">
        <v>2592</v>
      </c>
      <c r="G70" s="8" t="s">
        <v>62</v>
      </c>
      <c r="H70" s="8" t="s">
        <v>266</v>
      </c>
      <c r="I70" s="8" t="s">
        <v>260</v>
      </c>
      <c r="J70" s="8" t="s">
        <v>1090</v>
      </c>
      <c r="K70" s="8"/>
      <c r="L70" s="283"/>
      <c r="M70" s="8"/>
      <c r="N70" s="8"/>
      <c r="O70" s="281"/>
      <c r="P70" s="8"/>
      <c r="Q70" s="132"/>
      <c r="R70" s="38"/>
      <c r="S70" s="8"/>
      <c r="T70" s="8"/>
      <c r="U70" s="8"/>
      <c r="V70" s="8"/>
      <c r="W70" s="8"/>
      <c r="X70" s="8"/>
      <c r="Y70" s="8"/>
      <c r="Z70" s="8"/>
      <c r="AA70" s="8"/>
    </row>
    <row r="71" spans="1:27" ht="47.25" hidden="1">
      <c r="A71" s="8" t="s">
        <v>53</v>
      </c>
      <c r="B71" s="29" t="s">
        <v>195</v>
      </c>
      <c r="C71" s="8" t="s">
        <v>256</v>
      </c>
      <c r="D71" s="8" t="s">
        <v>267</v>
      </c>
      <c r="E71" s="8" t="s">
        <v>268</v>
      </c>
      <c r="F71" s="8" t="s">
        <v>2592</v>
      </c>
      <c r="G71" s="8" t="s">
        <v>62</v>
      </c>
      <c r="H71" s="8" t="s">
        <v>269</v>
      </c>
      <c r="I71" s="8" t="s">
        <v>270</v>
      </c>
      <c r="J71" s="8" t="s">
        <v>8</v>
      </c>
      <c r="K71" s="8" t="s">
        <v>2605</v>
      </c>
      <c r="L71" s="283"/>
      <c r="M71" s="8" t="s">
        <v>12</v>
      </c>
      <c r="N71" s="8"/>
      <c r="O71" s="281"/>
      <c r="P71" s="8"/>
      <c r="Q71" s="132"/>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283"/>
      <c r="M72" s="8"/>
      <c r="N72" s="8"/>
      <c r="O72" s="281"/>
      <c r="P72" s="8"/>
      <c r="Q72" s="132"/>
      <c r="R72" s="38"/>
      <c r="S72" s="8"/>
      <c r="T72" s="8"/>
      <c r="U72" s="8"/>
      <c r="V72" s="8"/>
      <c r="W72" s="8"/>
      <c r="X72" s="8"/>
      <c r="Y72" s="8"/>
      <c r="Z72" s="8"/>
      <c r="AA72" s="8"/>
    </row>
    <row r="73" spans="1:27" ht="63" hidden="1">
      <c r="A73" s="8" t="s">
        <v>53</v>
      </c>
      <c r="B73" s="29" t="s">
        <v>274</v>
      </c>
      <c r="C73" s="8" t="s">
        <v>275</v>
      </c>
      <c r="D73" s="8" t="s">
        <v>276</v>
      </c>
      <c r="E73" s="8" t="s">
        <v>277</v>
      </c>
      <c r="F73" s="20"/>
      <c r="G73" s="20" t="s">
        <v>62</v>
      </c>
      <c r="H73" s="20"/>
      <c r="I73" s="20"/>
      <c r="J73" s="20"/>
      <c r="K73" s="20"/>
      <c r="L73" s="278"/>
      <c r="M73" s="20"/>
      <c r="N73" s="20"/>
      <c r="O73" s="279"/>
      <c r="P73" s="20"/>
      <c r="Q73" s="132"/>
      <c r="R73" s="39"/>
      <c r="S73" s="20"/>
      <c r="T73" s="20"/>
      <c r="U73" s="20"/>
      <c r="V73" s="20"/>
      <c r="W73" s="20"/>
      <c r="X73" s="20"/>
      <c r="Y73" s="20"/>
      <c r="Z73" s="20"/>
      <c r="AA73" s="20"/>
    </row>
    <row r="74" spans="1:27" ht="126" hidden="1">
      <c r="A74" s="8"/>
      <c r="B74" s="29" t="s">
        <v>274</v>
      </c>
      <c r="C74" s="8" t="s">
        <v>275</v>
      </c>
      <c r="D74" s="8" t="s">
        <v>278</v>
      </c>
      <c r="E74" s="69" t="s">
        <v>279</v>
      </c>
      <c r="F74" s="8" t="s">
        <v>2592</v>
      </c>
      <c r="G74" s="8" t="s">
        <v>62</v>
      </c>
      <c r="H74" s="8" t="s">
        <v>280</v>
      </c>
      <c r="I74" s="292">
        <v>1</v>
      </c>
      <c r="J74" s="8" t="s">
        <v>1090</v>
      </c>
      <c r="K74" s="8"/>
      <c r="L74" s="283"/>
      <c r="M74" s="8"/>
      <c r="N74" s="8"/>
      <c r="O74" s="281"/>
      <c r="P74" s="8"/>
      <c r="Q74" s="132"/>
      <c r="R74" s="38"/>
      <c r="S74" s="8"/>
      <c r="T74" s="8"/>
      <c r="U74" s="8"/>
      <c r="V74" s="8"/>
      <c r="W74" s="8"/>
      <c r="X74" s="8"/>
      <c r="Y74" s="8"/>
      <c r="Z74" s="8"/>
      <c r="AA74" s="8"/>
    </row>
    <row r="75" spans="1:27" ht="110.25" hidden="1">
      <c r="A75" s="8" t="s">
        <v>53</v>
      </c>
      <c r="B75" s="29" t="s">
        <v>274</v>
      </c>
      <c r="C75" s="8" t="s">
        <v>275</v>
      </c>
      <c r="D75" s="8" t="s">
        <v>281</v>
      </c>
      <c r="E75" s="69" t="s">
        <v>279</v>
      </c>
      <c r="F75" s="8" t="s">
        <v>2592</v>
      </c>
      <c r="G75" s="8" t="s">
        <v>62</v>
      </c>
      <c r="H75" s="8" t="s">
        <v>282</v>
      </c>
      <c r="I75" s="292">
        <v>1</v>
      </c>
      <c r="J75" s="8" t="s">
        <v>1090</v>
      </c>
      <c r="K75" s="9"/>
      <c r="L75" s="283"/>
      <c r="M75" s="9"/>
      <c r="N75" s="9"/>
      <c r="O75" s="281"/>
      <c r="P75" s="8"/>
      <c r="Q75" s="282"/>
      <c r="R75" s="37"/>
      <c r="S75" s="9"/>
      <c r="T75" s="9"/>
      <c r="U75" s="9"/>
      <c r="V75" s="9"/>
      <c r="W75" s="9"/>
      <c r="X75" s="9"/>
      <c r="Y75" s="9"/>
      <c r="Z75" s="9"/>
      <c r="AA75" s="8"/>
    </row>
    <row r="76" spans="1:27" ht="94.5" hidden="1">
      <c r="A76" s="8" t="s">
        <v>53</v>
      </c>
      <c r="B76" s="29" t="s">
        <v>274</v>
      </c>
      <c r="C76" s="8" t="s">
        <v>275</v>
      </c>
      <c r="D76" s="8" t="s">
        <v>283</v>
      </c>
      <c r="E76" s="69" t="s">
        <v>284</v>
      </c>
      <c r="F76" s="8" t="s">
        <v>2592</v>
      </c>
      <c r="G76" s="8" t="s">
        <v>62</v>
      </c>
      <c r="H76" s="8" t="s">
        <v>285</v>
      </c>
      <c r="I76" s="292">
        <v>1</v>
      </c>
      <c r="J76" s="8" t="s">
        <v>1090</v>
      </c>
      <c r="K76" s="8"/>
      <c r="L76" s="283"/>
      <c r="M76" s="8"/>
      <c r="N76" s="8"/>
      <c r="O76" s="281"/>
      <c r="P76" s="8"/>
      <c r="Q76" s="132"/>
      <c r="R76" s="38"/>
      <c r="S76" s="8"/>
      <c r="T76" s="8"/>
      <c r="U76" s="8"/>
      <c r="V76" s="8"/>
      <c r="W76" s="8"/>
      <c r="X76" s="8"/>
      <c r="Y76" s="8"/>
      <c r="Z76" s="8"/>
      <c r="AA76" s="8"/>
    </row>
    <row r="77" spans="1:27" ht="78.75" hidden="1">
      <c r="A77" s="8"/>
      <c r="B77" s="29" t="s">
        <v>274</v>
      </c>
      <c r="C77" s="8" t="s">
        <v>275</v>
      </c>
      <c r="D77" s="8" t="s">
        <v>286</v>
      </c>
      <c r="E77" s="69" t="s">
        <v>284</v>
      </c>
      <c r="F77" s="8" t="s">
        <v>2592</v>
      </c>
      <c r="G77" s="8" t="s">
        <v>62</v>
      </c>
      <c r="H77" s="8" t="s">
        <v>287</v>
      </c>
      <c r="I77" s="292">
        <v>1</v>
      </c>
      <c r="J77" s="8" t="s">
        <v>1090</v>
      </c>
      <c r="K77" s="8"/>
      <c r="L77" s="283"/>
      <c r="M77" s="8"/>
      <c r="N77" s="8"/>
      <c r="O77" s="281"/>
      <c r="P77" s="8"/>
      <c r="Q77" s="132"/>
      <c r="R77" s="38"/>
      <c r="S77" s="8"/>
      <c r="T77" s="8"/>
      <c r="U77" s="8"/>
      <c r="V77" s="8"/>
      <c r="W77" s="8"/>
      <c r="X77" s="8"/>
      <c r="Y77" s="8"/>
      <c r="Z77" s="8"/>
      <c r="AA77" s="8"/>
    </row>
    <row r="78" spans="1:27" ht="94.5" hidden="1">
      <c r="A78" s="8" t="s">
        <v>53</v>
      </c>
      <c r="B78" s="29" t="s">
        <v>274</v>
      </c>
      <c r="C78" s="8" t="s">
        <v>275</v>
      </c>
      <c r="D78" s="8" t="s">
        <v>288</v>
      </c>
      <c r="E78" s="69" t="s">
        <v>289</v>
      </c>
      <c r="F78" s="8" t="s">
        <v>2592</v>
      </c>
      <c r="G78" s="8" t="s">
        <v>62</v>
      </c>
      <c r="H78" s="8" t="s">
        <v>290</v>
      </c>
      <c r="I78" s="292">
        <v>1</v>
      </c>
      <c r="J78" s="8" t="s">
        <v>1090</v>
      </c>
      <c r="K78" s="8"/>
      <c r="L78" s="283"/>
      <c r="M78" s="8"/>
      <c r="N78" s="8"/>
      <c r="O78" s="281"/>
      <c r="P78" s="8"/>
      <c r="Q78" s="132"/>
      <c r="R78" s="38"/>
      <c r="S78" s="8"/>
      <c r="T78" s="8"/>
      <c r="U78" s="8"/>
      <c r="V78" s="8"/>
      <c r="W78" s="8"/>
      <c r="X78" s="8"/>
      <c r="Y78" s="8"/>
      <c r="Z78" s="8"/>
      <c r="AA78" s="8"/>
    </row>
    <row r="79" spans="1:27" ht="78.75" hidden="1">
      <c r="A79" s="8" t="s">
        <v>53</v>
      </c>
      <c r="B79" s="29" t="s">
        <v>274</v>
      </c>
      <c r="C79" s="8" t="s">
        <v>275</v>
      </c>
      <c r="D79" s="8" t="s">
        <v>291</v>
      </c>
      <c r="E79" s="69" t="s">
        <v>289</v>
      </c>
      <c r="F79" s="8" t="s">
        <v>2592</v>
      </c>
      <c r="G79" s="8" t="s">
        <v>62</v>
      </c>
      <c r="H79" s="8" t="s">
        <v>292</v>
      </c>
      <c r="I79" s="292">
        <v>1</v>
      </c>
      <c r="J79" s="8" t="s">
        <v>1090</v>
      </c>
      <c r="K79" s="8"/>
      <c r="L79" s="283"/>
      <c r="M79" s="8"/>
      <c r="N79" s="8"/>
      <c r="O79" s="281"/>
      <c r="P79" s="8"/>
      <c r="Q79" s="132"/>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283"/>
      <c r="M80" s="8"/>
      <c r="N80" s="8"/>
      <c r="O80" s="281"/>
      <c r="P80" s="8"/>
      <c r="Q80" s="132"/>
      <c r="R80" s="38"/>
      <c r="S80" s="8"/>
      <c r="T80" s="8"/>
      <c r="U80" s="8"/>
      <c r="V80" s="8"/>
      <c r="W80" s="8"/>
      <c r="X80" s="8"/>
      <c r="Y80" s="8"/>
      <c r="Z80" s="8"/>
      <c r="AA80" s="8"/>
    </row>
    <row r="81" spans="1:27" ht="47.25" hidden="1">
      <c r="A81" s="8" t="s">
        <v>53</v>
      </c>
      <c r="B81" s="29" t="s">
        <v>274</v>
      </c>
      <c r="C81" s="8" t="s">
        <v>298</v>
      </c>
      <c r="D81" s="8" t="s">
        <v>299</v>
      </c>
      <c r="E81" s="8" t="s">
        <v>300</v>
      </c>
      <c r="F81" s="20"/>
      <c r="G81" s="20" t="s">
        <v>62</v>
      </c>
      <c r="H81" s="20"/>
      <c r="I81" s="20"/>
      <c r="J81" s="20"/>
      <c r="K81" s="20"/>
      <c r="L81" s="278"/>
      <c r="M81" s="20"/>
      <c r="N81" s="20"/>
      <c r="O81" s="279"/>
      <c r="P81" s="20"/>
      <c r="Q81" s="132"/>
      <c r="R81" s="39"/>
      <c r="S81" s="20"/>
      <c r="T81" s="20"/>
      <c r="U81" s="20"/>
      <c r="V81" s="20"/>
      <c r="W81" s="20"/>
      <c r="X81" s="20"/>
      <c r="Y81" s="20"/>
      <c r="Z81" s="20"/>
      <c r="AA81" s="20"/>
    </row>
    <row r="82" spans="1:27" ht="63" hidden="1">
      <c r="A82" s="8" t="s">
        <v>53</v>
      </c>
      <c r="B82" s="29" t="s">
        <v>274</v>
      </c>
      <c r="C82" s="8" t="s">
        <v>298</v>
      </c>
      <c r="D82" s="8" t="s">
        <v>301</v>
      </c>
      <c r="E82" s="69" t="s">
        <v>302</v>
      </c>
      <c r="F82" s="8" t="s">
        <v>2592</v>
      </c>
      <c r="G82" s="8" t="s">
        <v>62</v>
      </c>
      <c r="H82" s="8" t="s">
        <v>303</v>
      </c>
      <c r="I82" s="8" t="s">
        <v>210</v>
      </c>
      <c r="J82" s="8" t="s">
        <v>1090</v>
      </c>
      <c r="K82" s="8" t="s">
        <v>2607</v>
      </c>
      <c r="L82" s="283"/>
      <c r="M82" s="8"/>
      <c r="N82" s="8"/>
      <c r="O82" s="281"/>
      <c r="P82" s="8"/>
      <c r="Q82" s="132"/>
      <c r="R82" s="38"/>
      <c r="S82" s="8"/>
      <c r="T82" s="8"/>
      <c r="U82" s="8"/>
      <c r="V82" s="8"/>
      <c r="W82" s="8"/>
      <c r="X82" s="8"/>
      <c r="Y82" s="8"/>
      <c r="Z82" s="8"/>
      <c r="AA82" s="8"/>
    </row>
    <row r="83" spans="1:27" ht="47.25" hidden="1">
      <c r="A83" s="8" t="s">
        <v>53</v>
      </c>
      <c r="B83" s="29" t="s">
        <v>274</v>
      </c>
      <c r="C83" s="8" t="s">
        <v>298</v>
      </c>
      <c r="D83" s="8" t="s">
        <v>304</v>
      </c>
      <c r="E83" s="69" t="s">
        <v>305</v>
      </c>
      <c r="F83" s="8" t="s">
        <v>2592</v>
      </c>
      <c r="G83" s="8" t="s">
        <v>62</v>
      </c>
      <c r="H83" s="8" t="s">
        <v>306</v>
      </c>
      <c r="I83" s="8" t="s">
        <v>210</v>
      </c>
      <c r="J83" s="8" t="s">
        <v>1191</v>
      </c>
      <c r="K83" s="8"/>
      <c r="L83" s="283"/>
      <c r="M83" s="8" t="s">
        <v>12</v>
      </c>
      <c r="N83" s="8" t="s">
        <v>2608</v>
      </c>
      <c r="O83" s="281"/>
      <c r="P83" s="8"/>
      <c r="Q83" s="132"/>
      <c r="R83" s="38"/>
      <c r="S83" s="8"/>
      <c r="T83" s="8"/>
      <c r="U83" s="8"/>
      <c r="V83" s="8"/>
      <c r="W83" s="8"/>
      <c r="X83" s="8"/>
      <c r="Y83" s="8"/>
      <c r="Z83" s="8"/>
      <c r="AA83" s="8"/>
    </row>
    <row r="84" spans="1:27" ht="47.25" hidden="1">
      <c r="A84" s="8" t="s">
        <v>53</v>
      </c>
      <c r="B84" s="29" t="s">
        <v>274</v>
      </c>
      <c r="C84" s="8" t="s">
        <v>298</v>
      </c>
      <c r="D84" s="8" t="s">
        <v>307</v>
      </c>
      <c r="E84" s="69" t="s">
        <v>308</v>
      </c>
      <c r="F84" s="8" t="s">
        <v>2592</v>
      </c>
      <c r="G84" s="8" t="s">
        <v>62</v>
      </c>
      <c r="H84" s="8" t="s">
        <v>309</v>
      </c>
      <c r="I84" s="8" t="s">
        <v>210</v>
      </c>
      <c r="J84" s="8" t="s">
        <v>8</v>
      </c>
      <c r="K84" s="8"/>
      <c r="L84" s="283"/>
      <c r="M84" s="8" t="s">
        <v>12</v>
      </c>
      <c r="N84" s="8"/>
      <c r="O84" s="281"/>
      <c r="P84" s="8"/>
      <c r="Q84" s="132"/>
      <c r="R84" s="38"/>
      <c r="S84" s="8"/>
      <c r="T84" s="8"/>
      <c r="U84" s="8"/>
      <c r="V84" s="8"/>
      <c r="W84" s="8"/>
      <c r="X84" s="8"/>
      <c r="Y84" s="8"/>
      <c r="Z84" s="8"/>
      <c r="AA84" s="8"/>
    </row>
    <row r="85" spans="1:27" ht="47.25" hidden="1">
      <c r="A85" s="78" t="s">
        <v>53</v>
      </c>
      <c r="B85" s="79" t="s">
        <v>274</v>
      </c>
      <c r="C85" s="78" t="s">
        <v>298</v>
      </c>
      <c r="D85" s="78" t="s">
        <v>310</v>
      </c>
      <c r="E85" s="80" t="s">
        <v>311</v>
      </c>
      <c r="F85" s="8" t="s">
        <v>2592</v>
      </c>
      <c r="G85" s="78" t="s">
        <v>62</v>
      </c>
      <c r="H85" s="78" t="s">
        <v>312</v>
      </c>
      <c r="I85" s="293">
        <v>1</v>
      </c>
      <c r="J85" s="8" t="s">
        <v>1090</v>
      </c>
      <c r="K85" s="78"/>
      <c r="L85" s="294"/>
      <c r="M85" s="78"/>
      <c r="N85" s="78"/>
      <c r="O85" s="295"/>
      <c r="P85" s="78"/>
      <c r="Q85" s="132"/>
      <c r="R85" s="83"/>
      <c r="S85" s="78"/>
      <c r="T85" s="78"/>
      <c r="U85" s="78"/>
      <c r="V85" s="78"/>
      <c r="W85" s="78"/>
      <c r="X85" s="78"/>
      <c r="Y85" s="78"/>
      <c r="Z85" s="78"/>
      <c r="AA85" s="78"/>
    </row>
    <row r="86" spans="1:27" ht="63" hidden="1">
      <c r="A86" s="76" t="s">
        <v>53</v>
      </c>
      <c r="B86" s="77" t="s">
        <v>274</v>
      </c>
      <c r="C86" s="76" t="s">
        <v>298</v>
      </c>
      <c r="D86" s="76" t="s">
        <v>313</v>
      </c>
      <c r="E86" s="76" t="s">
        <v>314</v>
      </c>
      <c r="F86" s="8" t="s">
        <v>2592</v>
      </c>
      <c r="G86" s="76" t="s">
        <v>62</v>
      </c>
      <c r="H86" s="76" t="s">
        <v>315</v>
      </c>
      <c r="I86" s="76" t="s">
        <v>221</v>
      </c>
      <c r="J86" s="76" t="s">
        <v>1191</v>
      </c>
      <c r="K86" s="76" t="s">
        <v>2609</v>
      </c>
      <c r="L86" s="296"/>
      <c r="M86" s="76" t="s">
        <v>12</v>
      </c>
      <c r="N86" s="76"/>
      <c r="O86" s="297"/>
      <c r="P86" s="298"/>
      <c r="Q86" s="26"/>
      <c r="R86" s="76"/>
      <c r="S86" s="90"/>
      <c r="T86" s="76"/>
      <c r="U86" s="76"/>
      <c r="V86" s="76"/>
      <c r="W86" s="76"/>
      <c r="X86" s="76"/>
      <c r="Y86" s="76"/>
      <c r="Z86" s="76"/>
      <c r="AA86" s="76"/>
    </row>
    <row r="87" spans="1:27" ht="47.25" hidden="1">
      <c r="A87" s="84" t="s">
        <v>53</v>
      </c>
      <c r="B87" s="85" t="s">
        <v>274</v>
      </c>
      <c r="C87" s="84" t="s">
        <v>298</v>
      </c>
      <c r="D87" s="84" t="s">
        <v>316</v>
      </c>
      <c r="E87" s="84" t="s">
        <v>317</v>
      </c>
      <c r="F87" s="8" t="s">
        <v>2592</v>
      </c>
      <c r="G87" s="84" t="s">
        <v>62</v>
      </c>
      <c r="H87" s="84" t="s">
        <v>318</v>
      </c>
      <c r="I87" s="86">
        <v>1</v>
      </c>
      <c r="J87" s="8" t="s">
        <v>1090</v>
      </c>
      <c r="K87" s="86"/>
      <c r="L87" s="299"/>
      <c r="M87" s="86"/>
      <c r="N87" s="86"/>
      <c r="O87" s="300"/>
      <c r="P87" s="84"/>
      <c r="Q87" s="282"/>
      <c r="R87" s="88"/>
      <c r="S87" s="86"/>
      <c r="T87" s="86"/>
      <c r="U87" s="86"/>
      <c r="V87" s="86"/>
      <c r="W87" s="86"/>
      <c r="X87" s="86"/>
      <c r="Y87" s="86"/>
      <c r="Z87" s="86"/>
      <c r="AA87" s="84"/>
    </row>
    <row r="88" spans="1:27" ht="63" hidden="1">
      <c r="A88" s="8" t="s">
        <v>53</v>
      </c>
      <c r="B88" s="29" t="s">
        <v>274</v>
      </c>
      <c r="C88" s="8" t="s">
        <v>319</v>
      </c>
      <c r="D88" s="8" t="s">
        <v>320</v>
      </c>
      <c r="E88" s="8" t="s">
        <v>321</v>
      </c>
      <c r="F88" s="20"/>
      <c r="G88" s="20" t="s">
        <v>62</v>
      </c>
      <c r="H88" s="20"/>
      <c r="I88" s="20"/>
      <c r="J88" s="20"/>
      <c r="K88" s="20"/>
      <c r="L88" s="278"/>
      <c r="M88" s="20"/>
      <c r="N88" s="20"/>
      <c r="O88" s="279"/>
      <c r="P88" s="20"/>
      <c r="Q88" s="132"/>
      <c r="R88" s="39"/>
      <c r="S88" s="20"/>
      <c r="T88" s="20"/>
      <c r="U88" s="20"/>
      <c r="V88" s="20"/>
      <c r="W88" s="20"/>
      <c r="X88" s="20"/>
      <c r="Y88" s="20"/>
      <c r="Z88" s="20"/>
      <c r="AA88" s="20"/>
    </row>
    <row r="89" spans="1:27" ht="63" hidden="1">
      <c r="A89" s="8" t="s">
        <v>53</v>
      </c>
      <c r="B89" s="29" t="s">
        <v>274</v>
      </c>
      <c r="C89" s="8" t="s">
        <v>319</v>
      </c>
      <c r="D89" s="8" t="s">
        <v>322</v>
      </c>
      <c r="E89" s="69" t="s">
        <v>323</v>
      </c>
      <c r="F89" s="8" t="s">
        <v>2592</v>
      </c>
      <c r="G89" s="8" t="s">
        <v>62</v>
      </c>
      <c r="H89" s="8" t="s">
        <v>324</v>
      </c>
      <c r="I89" s="8" t="s">
        <v>325</v>
      </c>
      <c r="J89" s="8" t="s">
        <v>1090</v>
      </c>
      <c r="K89" s="8" t="s">
        <v>2610</v>
      </c>
      <c r="L89" s="283"/>
      <c r="M89" s="8"/>
      <c r="N89" s="8"/>
      <c r="O89" s="281"/>
      <c r="P89" s="8"/>
      <c r="Q89" s="132"/>
      <c r="R89" s="38"/>
      <c r="S89" s="8"/>
      <c r="T89" s="8"/>
      <c r="U89" s="8"/>
      <c r="V89" s="8"/>
      <c r="W89" s="8"/>
      <c r="X89" s="8"/>
      <c r="Y89" s="8"/>
      <c r="Z89" s="8"/>
      <c r="AA89" s="8"/>
    </row>
    <row r="90" spans="1:27" ht="63" hidden="1">
      <c r="A90" s="8" t="s">
        <v>53</v>
      </c>
      <c r="B90" s="29" t="s">
        <v>274</v>
      </c>
      <c r="C90" s="8" t="s">
        <v>319</v>
      </c>
      <c r="D90" s="8" t="s">
        <v>326</v>
      </c>
      <c r="E90" s="69" t="s">
        <v>327</v>
      </c>
      <c r="F90" s="8" t="s">
        <v>2592</v>
      </c>
      <c r="G90" s="8" t="s">
        <v>62</v>
      </c>
      <c r="H90" s="8" t="s">
        <v>328</v>
      </c>
      <c r="I90" s="9">
        <v>1</v>
      </c>
      <c r="J90" s="8" t="s">
        <v>1090</v>
      </c>
      <c r="K90" s="8"/>
      <c r="L90" s="283"/>
      <c r="M90" s="8"/>
      <c r="N90" s="8"/>
      <c r="O90" s="281"/>
      <c r="P90" s="8"/>
      <c r="Q90" s="132"/>
      <c r="R90" s="38"/>
      <c r="S90" s="8"/>
      <c r="T90" s="8"/>
      <c r="U90" s="8"/>
      <c r="V90" s="8"/>
      <c r="W90" s="8"/>
      <c r="X90" s="8"/>
      <c r="Y90" s="8"/>
      <c r="Z90" s="8"/>
      <c r="AA90" s="8"/>
    </row>
    <row r="91" spans="1:27" ht="63" hidden="1">
      <c r="A91" s="8" t="s">
        <v>53</v>
      </c>
      <c r="B91" s="29" t="s">
        <v>274</v>
      </c>
      <c r="C91" s="8" t="s">
        <v>319</v>
      </c>
      <c r="D91" s="8" t="s">
        <v>329</v>
      </c>
      <c r="E91" s="8" t="s">
        <v>330</v>
      </c>
      <c r="F91" s="8" t="s">
        <v>2592</v>
      </c>
      <c r="G91" s="8" t="s">
        <v>62</v>
      </c>
      <c r="H91" s="8" t="s">
        <v>182</v>
      </c>
      <c r="I91" s="9">
        <v>1</v>
      </c>
      <c r="J91" s="8" t="s">
        <v>1090</v>
      </c>
      <c r="K91" s="9"/>
      <c r="L91" s="283"/>
      <c r="M91" s="9"/>
      <c r="N91" s="9"/>
      <c r="O91" s="281"/>
      <c r="P91" s="8"/>
      <c r="Q91" s="282"/>
      <c r="R91" s="37"/>
      <c r="S91" s="9"/>
      <c r="T91" s="9"/>
      <c r="U91" s="9"/>
      <c r="V91" s="9"/>
      <c r="W91" s="9"/>
      <c r="X91" s="9"/>
      <c r="Y91" s="9"/>
      <c r="Z91" s="9"/>
      <c r="AA91" s="8"/>
    </row>
    <row r="92" spans="1:27" ht="78.75" hidden="1">
      <c r="A92" s="8" t="s">
        <v>53</v>
      </c>
      <c r="B92" s="29" t="s">
        <v>274</v>
      </c>
      <c r="C92" s="8" t="s">
        <v>319</v>
      </c>
      <c r="D92" s="8" t="s">
        <v>331</v>
      </c>
      <c r="E92" s="8" t="s">
        <v>332</v>
      </c>
      <c r="F92" s="8" t="s">
        <v>2592</v>
      </c>
      <c r="G92" s="8" t="s">
        <v>62</v>
      </c>
      <c r="H92" s="8" t="s">
        <v>182</v>
      </c>
      <c r="I92" s="9">
        <v>1</v>
      </c>
      <c r="J92" s="8" t="s">
        <v>1090</v>
      </c>
      <c r="K92" s="9" t="s">
        <v>2611</v>
      </c>
      <c r="L92" s="283"/>
      <c r="M92" s="9"/>
      <c r="N92" s="9"/>
      <c r="O92" s="281"/>
      <c r="P92" s="8"/>
      <c r="Q92" s="282"/>
      <c r="R92" s="37"/>
      <c r="S92" s="9"/>
      <c r="T92" s="9"/>
      <c r="U92" s="9"/>
      <c r="V92" s="9"/>
      <c r="W92" s="9"/>
      <c r="X92" s="9"/>
      <c r="Y92" s="9"/>
      <c r="Z92" s="9"/>
      <c r="AA92" s="8"/>
    </row>
    <row r="93" spans="1:27" ht="63" hidden="1">
      <c r="A93" s="8" t="s">
        <v>53</v>
      </c>
      <c r="B93" s="29" t="s">
        <v>274</v>
      </c>
      <c r="C93" s="8" t="s">
        <v>319</v>
      </c>
      <c r="D93" s="8" t="s">
        <v>333</v>
      </c>
      <c r="E93" s="8" t="s">
        <v>334</v>
      </c>
      <c r="F93" s="8" t="s">
        <v>2592</v>
      </c>
      <c r="G93" s="8" t="s">
        <v>62</v>
      </c>
      <c r="H93" s="8" t="s">
        <v>335</v>
      </c>
      <c r="I93" s="9">
        <v>1</v>
      </c>
      <c r="J93" s="8" t="s">
        <v>1090</v>
      </c>
      <c r="K93" s="9"/>
      <c r="L93" s="283"/>
      <c r="M93" s="9"/>
      <c r="N93" s="9"/>
      <c r="O93" s="281"/>
      <c r="P93" s="8"/>
      <c r="Q93" s="282"/>
      <c r="R93" s="37"/>
      <c r="S93" s="9"/>
      <c r="T93" s="9"/>
      <c r="U93" s="9"/>
      <c r="V93" s="9"/>
      <c r="W93" s="9"/>
      <c r="X93" s="9"/>
      <c r="Y93" s="9"/>
      <c r="Z93" s="9"/>
      <c r="AA93" s="8"/>
    </row>
    <row r="94" spans="1:27" ht="110.25" hidden="1">
      <c r="A94" s="8" t="s">
        <v>53</v>
      </c>
      <c r="B94" s="29" t="s">
        <v>336</v>
      </c>
      <c r="C94" s="8" t="s">
        <v>337</v>
      </c>
      <c r="D94" s="8" t="s">
        <v>338</v>
      </c>
      <c r="E94" s="8" t="s">
        <v>339</v>
      </c>
      <c r="F94" s="20"/>
      <c r="G94" s="20" t="s">
        <v>71</v>
      </c>
      <c r="H94" s="20"/>
      <c r="I94" s="20"/>
      <c r="J94" s="20"/>
      <c r="K94" s="20"/>
      <c r="L94" s="278"/>
      <c r="M94" s="20"/>
      <c r="N94" s="20"/>
      <c r="O94" s="279"/>
      <c r="P94" s="20"/>
      <c r="Q94" s="132"/>
      <c r="R94" s="39"/>
      <c r="S94" s="20"/>
      <c r="T94" s="20"/>
      <c r="U94" s="20"/>
      <c r="V94" s="20"/>
      <c r="W94" s="20"/>
      <c r="X94" s="20"/>
      <c r="Y94" s="20"/>
      <c r="Z94" s="20"/>
      <c r="AA94" s="20"/>
    </row>
    <row r="95" spans="1:27" ht="56.25" hidden="1">
      <c r="A95" s="8" t="s">
        <v>53</v>
      </c>
      <c r="B95" s="29" t="s">
        <v>336</v>
      </c>
      <c r="C95" s="8" t="s">
        <v>337</v>
      </c>
      <c r="D95" s="8" t="s">
        <v>340</v>
      </c>
      <c r="E95" s="69" t="s">
        <v>341</v>
      </c>
      <c r="F95" s="8" t="s">
        <v>2592</v>
      </c>
      <c r="G95" s="8" t="s">
        <v>62</v>
      </c>
      <c r="H95" s="8" t="s">
        <v>342</v>
      </c>
      <c r="I95" s="8" t="s">
        <v>343</v>
      </c>
      <c r="J95" s="8" t="s">
        <v>1090</v>
      </c>
      <c r="K95" s="8" t="s">
        <v>2612</v>
      </c>
      <c r="L95" s="283"/>
      <c r="M95" s="8"/>
      <c r="N95" s="8"/>
      <c r="O95" s="281"/>
      <c r="P95" s="8"/>
      <c r="Q95" s="132"/>
      <c r="R95" s="38"/>
      <c r="S95" s="8"/>
      <c r="T95" s="8"/>
      <c r="U95" s="8"/>
      <c r="V95" s="8"/>
      <c r="W95" s="8"/>
      <c r="X95" s="8"/>
      <c r="Y95" s="8"/>
      <c r="Z95" s="8"/>
      <c r="AA95" s="8"/>
    </row>
    <row r="96" spans="1:27" ht="56.25" hidden="1">
      <c r="A96" s="8" t="s">
        <v>53</v>
      </c>
      <c r="B96" s="29" t="s">
        <v>336</v>
      </c>
      <c r="C96" s="8" t="s">
        <v>337</v>
      </c>
      <c r="D96" s="8" t="s">
        <v>344</v>
      </c>
      <c r="E96" s="69" t="s">
        <v>345</v>
      </c>
      <c r="F96" s="8" t="s">
        <v>2592</v>
      </c>
      <c r="G96" s="8" t="s">
        <v>62</v>
      </c>
      <c r="H96" s="8" t="s">
        <v>346</v>
      </c>
      <c r="I96" s="8" t="s">
        <v>343</v>
      </c>
      <c r="J96" s="8" t="s">
        <v>1090</v>
      </c>
      <c r="K96" s="8" t="s">
        <v>2612</v>
      </c>
      <c r="L96" s="283"/>
      <c r="M96" s="8"/>
      <c r="N96" s="8"/>
      <c r="O96" s="281"/>
      <c r="P96" s="8"/>
      <c r="Q96" s="132"/>
      <c r="R96" s="38"/>
      <c r="S96" s="8"/>
      <c r="T96" s="8"/>
      <c r="U96" s="8"/>
      <c r="V96" s="8"/>
      <c r="W96" s="8"/>
      <c r="X96" s="8"/>
      <c r="Y96" s="8"/>
      <c r="Z96" s="8"/>
      <c r="AA96" s="8"/>
    </row>
    <row r="97" spans="1:27" ht="63" hidden="1">
      <c r="A97" s="8" t="s">
        <v>53</v>
      </c>
      <c r="B97" s="29" t="s">
        <v>336</v>
      </c>
      <c r="C97" s="8" t="s">
        <v>337</v>
      </c>
      <c r="D97" s="8" t="s">
        <v>347</v>
      </c>
      <c r="E97" s="8" t="s">
        <v>348</v>
      </c>
      <c r="F97" s="8" t="s">
        <v>2592</v>
      </c>
      <c r="G97" s="8" t="s">
        <v>62</v>
      </c>
      <c r="H97" s="8" t="s">
        <v>349</v>
      </c>
      <c r="I97" s="8" t="s">
        <v>110</v>
      </c>
      <c r="J97" s="8" t="s">
        <v>1090</v>
      </c>
      <c r="K97" s="8" t="s">
        <v>2612</v>
      </c>
      <c r="L97" s="283"/>
      <c r="M97" s="8"/>
      <c r="N97" s="8"/>
      <c r="O97" s="281"/>
      <c r="P97" s="8"/>
      <c r="Q97" s="132"/>
      <c r="R97" s="38"/>
      <c r="S97" s="8"/>
      <c r="T97" s="8"/>
      <c r="U97" s="8"/>
      <c r="V97" s="8"/>
      <c r="W97" s="8"/>
      <c r="X97" s="8"/>
      <c r="Y97" s="8"/>
      <c r="Z97" s="8"/>
      <c r="AA97" s="8"/>
    </row>
    <row r="98" spans="1:27" ht="56.25" hidden="1">
      <c r="A98" s="8" t="s">
        <v>53</v>
      </c>
      <c r="B98" s="29" t="s">
        <v>336</v>
      </c>
      <c r="C98" s="8" t="s">
        <v>337</v>
      </c>
      <c r="D98" s="8" t="s">
        <v>350</v>
      </c>
      <c r="E98" s="8" t="s">
        <v>351</v>
      </c>
      <c r="F98" s="20"/>
      <c r="G98" s="20" t="s">
        <v>58</v>
      </c>
      <c r="H98" s="20" t="s">
        <v>352</v>
      </c>
      <c r="I98" s="22">
        <v>1</v>
      </c>
      <c r="J98" s="20"/>
      <c r="K98" s="20"/>
      <c r="L98" s="278"/>
      <c r="M98" s="20"/>
      <c r="N98" s="20"/>
      <c r="O98" s="279"/>
      <c r="P98" s="20"/>
      <c r="Q98" s="132"/>
      <c r="R98" s="39"/>
      <c r="S98" s="20"/>
      <c r="T98" s="20"/>
      <c r="U98" s="20"/>
      <c r="V98" s="20"/>
      <c r="W98" s="20"/>
      <c r="X98" s="20"/>
      <c r="Y98" s="20"/>
      <c r="Z98" s="20"/>
      <c r="AA98" s="20"/>
    </row>
    <row r="99" spans="1:27" ht="56.25" hidden="1">
      <c r="A99" s="8" t="s">
        <v>53</v>
      </c>
      <c r="B99" s="29" t="s">
        <v>336</v>
      </c>
      <c r="C99" s="8" t="s">
        <v>337</v>
      </c>
      <c r="D99" s="8" t="s">
        <v>353</v>
      </c>
      <c r="E99" s="69" t="s">
        <v>354</v>
      </c>
      <c r="F99" s="8" t="s">
        <v>2592</v>
      </c>
      <c r="G99" s="8" t="s">
        <v>58</v>
      </c>
      <c r="H99" s="8" t="s">
        <v>352</v>
      </c>
      <c r="I99" s="9">
        <v>1</v>
      </c>
      <c r="J99" s="8" t="s">
        <v>1090</v>
      </c>
      <c r="K99" s="9"/>
      <c r="L99" s="283"/>
      <c r="M99" s="9"/>
      <c r="N99" s="9"/>
      <c r="O99" s="281"/>
      <c r="P99" s="8"/>
      <c r="Q99" s="282"/>
      <c r="R99" s="37"/>
      <c r="S99" s="9"/>
      <c r="T99" s="9"/>
      <c r="U99" s="9"/>
      <c r="V99" s="9"/>
      <c r="W99" s="9"/>
      <c r="X99" s="9"/>
      <c r="Y99" s="9"/>
      <c r="Z99" s="9"/>
      <c r="AA99" s="8"/>
    </row>
    <row r="100" spans="1:27" ht="56.25" hidden="1">
      <c r="A100" s="8" t="s">
        <v>53</v>
      </c>
      <c r="B100" s="29" t="s">
        <v>336</v>
      </c>
      <c r="C100" s="8" t="s">
        <v>337</v>
      </c>
      <c r="D100" s="8" t="s">
        <v>355</v>
      </c>
      <c r="E100" s="69" t="s">
        <v>356</v>
      </c>
      <c r="F100" s="8" t="s">
        <v>2592</v>
      </c>
      <c r="G100" s="8" t="s">
        <v>58</v>
      </c>
      <c r="H100" s="8" t="s">
        <v>352</v>
      </c>
      <c r="I100" s="9">
        <v>1</v>
      </c>
      <c r="J100" s="8" t="s">
        <v>1090</v>
      </c>
      <c r="K100" s="9"/>
      <c r="L100" s="283"/>
      <c r="M100" s="9"/>
      <c r="N100" s="9"/>
      <c r="O100" s="281"/>
      <c r="P100" s="8"/>
      <c r="Q100" s="282"/>
      <c r="R100" s="37"/>
      <c r="S100" s="9"/>
      <c r="T100" s="9"/>
      <c r="U100" s="9"/>
      <c r="V100" s="9"/>
      <c r="W100" s="9"/>
      <c r="X100" s="9"/>
      <c r="Y100" s="9"/>
      <c r="Z100" s="9"/>
      <c r="AA100" s="8"/>
    </row>
    <row r="101" spans="1:27" ht="56.25" hidden="1">
      <c r="A101" s="8" t="s">
        <v>53</v>
      </c>
      <c r="B101" s="29" t="s">
        <v>336</v>
      </c>
      <c r="C101" s="8" t="s">
        <v>337</v>
      </c>
      <c r="D101" s="8" t="s">
        <v>357</v>
      </c>
      <c r="E101" s="69" t="s">
        <v>358</v>
      </c>
      <c r="F101" s="8" t="s">
        <v>2592</v>
      </c>
      <c r="G101" s="8" t="s">
        <v>58</v>
      </c>
      <c r="H101" s="8" t="s">
        <v>352</v>
      </c>
      <c r="I101" s="9">
        <v>1</v>
      </c>
      <c r="J101" s="8" t="s">
        <v>1090</v>
      </c>
      <c r="K101" s="9"/>
      <c r="L101" s="283"/>
      <c r="M101" s="9"/>
      <c r="N101" s="9"/>
      <c r="O101" s="281"/>
      <c r="P101" s="8"/>
      <c r="Q101" s="282"/>
      <c r="R101" s="37"/>
      <c r="S101" s="9"/>
      <c r="T101" s="9"/>
      <c r="U101" s="9"/>
      <c r="V101" s="9"/>
      <c r="W101" s="9"/>
      <c r="X101" s="9"/>
      <c r="Y101" s="9"/>
      <c r="Z101" s="9"/>
      <c r="AA101" s="8"/>
    </row>
    <row r="102" spans="1:27" ht="56.25" hidden="1">
      <c r="A102" s="8" t="s">
        <v>53</v>
      </c>
      <c r="B102" s="29" t="s">
        <v>336</v>
      </c>
      <c r="C102" s="8" t="s">
        <v>337</v>
      </c>
      <c r="D102" s="8" t="s">
        <v>359</v>
      </c>
      <c r="E102" s="69" t="s">
        <v>360</v>
      </c>
      <c r="F102" s="8" t="s">
        <v>2592</v>
      </c>
      <c r="G102" s="8" t="s">
        <v>58</v>
      </c>
      <c r="H102" s="8" t="s">
        <v>352</v>
      </c>
      <c r="I102" s="9">
        <v>1</v>
      </c>
      <c r="J102" s="8" t="s">
        <v>1090</v>
      </c>
      <c r="K102" s="9"/>
      <c r="L102" s="283"/>
      <c r="M102" s="9"/>
      <c r="N102" s="9"/>
      <c r="O102" s="281"/>
      <c r="P102" s="8"/>
      <c r="Q102" s="282"/>
      <c r="R102" s="37"/>
      <c r="S102" s="9"/>
      <c r="T102" s="9"/>
      <c r="U102" s="9"/>
      <c r="V102" s="9"/>
      <c r="W102" s="9"/>
      <c r="X102" s="9"/>
      <c r="Y102" s="9"/>
      <c r="Z102" s="9"/>
      <c r="AA102" s="8"/>
    </row>
    <row r="103" spans="1:27" ht="56.25" hidden="1">
      <c r="A103" s="8" t="s">
        <v>53</v>
      </c>
      <c r="B103" s="29" t="s">
        <v>336</v>
      </c>
      <c r="C103" s="8" t="s">
        <v>337</v>
      </c>
      <c r="D103" s="8" t="s">
        <v>361</v>
      </c>
      <c r="E103" s="69" t="s">
        <v>362</v>
      </c>
      <c r="F103" s="8" t="s">
        <v>2592</v>
      </c>
      <c r="G103" s="8" t="s">
        <v>58</v>
      </c>
      <c r="H103" s="8" t="s">
        <v>352</v>
      </c>
      <c r="I103" s="9">
        <v>1</v>
      </c>
      <c r="J103" s="8" t="s">
        <v>1090</v>
      </c>
      <c r="K103" s="9"/>
      <c r="L103" s="283"/>
      <c r="M103" s="9"/>
      <c r="N103" s="9"/>
      <c r="O103" s="281"/>
      <c r="P103" s="8"/>
      <c r="Q103" s="282"/>
      <c r="R103" s="37"/>
      <c r="S103" s="9"/>
      <c r="T103" s="9"/>
      <c r="U103" s="9"/>
      <c r="V103" s="9"/>
      <c r="W103" s="9"/>
      <c r="X103" s="9"/>
      <c r="Y103" s="9"/>
      <c r="Z103" s="9"/>
      <c r="AA103" s="8"/>
    </row>
    <row r="104" spans="1:27" ht="56.25" hidden="1">
      <c r="A104" s="8" t="s">
        <v>53</v>
      </c>
      <c r="B104" s="29" t="s">
        <v>336</v>
      </c>
      <c r="C104" s="8" t="s">
        <v>337</v>
      </c>
      <c r="D104" s="8" t="s">
        <v>363</v>
      </c>
      <c r="E104" s="69" t="s">
        <v>364</v>
      </c>
      <c r="F104" s="8" t="s">
        <v>2592</v>
      </c>
      <c r="G104" s="8" t="s">
        <v>58</v>
      </c>
      <c r="H104" s="8" t="s">
        <v>352</v>
      </c>
      <c r="I104" s="9">
        <v>1</v>
      </c>
      <c r="J104" s="8" t="s">
        <v>1090</v>
      </c>
      <c r="K104" s="9"/>
      <c r="L104" s="283"/>
      <c r="M104" s="9"/>
      <c r="N104" s="9"/>
      <c r="O104" s="281"/>
      <c r="P104" s="8"/>
      <c r="Q104" s="282"/>
      <c r="R104" s="37"/>
      <c r="S104" s="9"/>
      <c r="T104" s="9"/>
      <c r="U104" s="9"/>
      <c r="V104" s="9"/>
      <c r="W104" s="9"/>
      <c r="X104" s="9"/>
      <c r="Y104" s="9"/>
      <c r="Z104" s="9"/>
      <c r="AA104" s="8"/>
    </row>
    <row r="105" spans="1:27" ht="56.25" hidden="1">
      <c r="A105" s="8" t="s">
        <v>53</v>
      </c>
      <c r="B105" s="29" t="s">
        <v>336</v>
      </c>
      <c r="C105" s="8" t="s">
        <v>337</v>
      </c>
      <c r="D105" s="8" t="s">
        <v>365</v>
      </c>
      <c r="E105" s="69" t="s">
        <v>366</v>
      </c>
      <c r="F105" s="8" t="s">
        <v>2592</v>
      </c>
      <c r="G105" s="8" t="s">
        <v>58</v>
      </c>
      <c r="H105" s="8" t="s">
        <v>352</v>
      </c>
      <c r="I105" s="9">
        <v>1</v>
      </c>
      <c r="J105" s="9" t="s">
        <v>8</v>
      </c>
      <c r="K105" s="9"/>
      <c r="L105" s="283"/>
      <c r="M105" s="9"/>
      <c r="N105" s="9"/>
      <c r="O105" s="281"/>
      <c r="P105" s="8"/>
      <c r="Q105" s="282"/>
      <c r="R105" s="37"/>
      <c r="S105" s="9"/>
      <c r="T105" s="9"/>
      <c r="U105" s="9"/>
      <c r="V105" s="9"/>
      <c r="W105" s="9"/>
      <c r="X105" s="9"/>
      <c r="Y105" s="9"/>
      <c r="Z105" s="9"/>
      <c r="AA105" s="8"/>
    </row>
    <row r="106" spans="1:27" ht="56.25" hidden="1">
      <c r="A106" s="8" t="s">
        <v>53</v>
      </c>
      <c r="B106" s="29" t="s">
        <v>336</v>
      </c>
      <c r="C106" s="8" t="s">
        <v>337</v>
      </c>
      <c r="D106" s="8" t="s">
        <v>367</v>
      </c>
      <c r="E106" s="69" t="s">
        <v>368</v>
      </c>
      <c r="F106" s="8" t="s">
        <v>2592</v>
      </c>
      <c r="G106" s="8" t="s">
        <v>58</v>
      </c>
      <c r="H106" s="8" t="s">
        <v>352</v>
      </c>
      <c r="I106" s="9">
        <v>1</v>
      </c>
      <c r="J106" s="8" t="s">
        <v>1090</v>
      </c>
      <c r="K106" s="9"/>
      <c r="L106" s="283"/>
      <c r="M106" s="9"/>
      <c r="N106" s="9"/>
      <c r="O106" s="281"/>
      <c r="P106" s="8"/>
      <c r="Q106" s="282"/>
      <c r="R106" s="37"/>
      <c r="S106" s="9"/>
      <c r="T106" s="9"/>
      <c r="U106" s="9"/>
      <c r="V106" s="9"/>
      <c r="W106" s="9"/>
      <c r="X106" s="9"/>
      <c r="Y106" s="9"/>
      <c r="Z106" s="9"/>
      <c r="AA106" s="8"/>
    </row>
    <row r="107" spans="1:27" ht="56.25" hidden="1">
      <c r="A107" s="8" t="s">
        <v>53</v>
      </c>
      <c r="B107" s="29" t="s">
        <v>336</v>
      </c>
      <c r="C107" s="8" t="s">
        <v>337</v>
      </c>
      <c r="D107" s="8" t="s">
        <v>369</v>
      </c>
      <c r="E107" s="69" t="s">
        <v>370</v>
      </c>
      <c r="F107" s="8" t="s">
        <v>2592</v>
      </c>
      <c r="G107" s="8" t="s">
        <v>58</v>
      </c>
      <c r="H107" s="8" t="s">
        <v>352</v>
      </c>
      <c r="I107" s="9">
        <v>1</v>
      </c>
      <c r="J107" s="9" t="s">
        <v>8</v>
      </c>
      <c r="K107" s="9"/>
      <c r="L107" s="283"/>
      <c r="M107" s="9"/>
      <c r="N107" s="9"/>
      <c r="O107" s="281"/>
      <c r="P107" s="8"/>
      <c r="Q107" s="282"/>
      <c r="R107" s="37"/>
      <c r="S107" s="9"/>
      <c r="T107" s="9"/>
      <c r="U107" s="9"/>
      <c r="V107" s="9"/>
      <c r="W107" s="9"/>
      <c r="X107" s="9"/>
      <c r="Y107" s="9"/>
      <c r="Z107" s="9"/>
      <c r="AA107" s="8"/>
    </row>
    <row r="108" spans="1:27" ht="56.25" hidden="1">
      <c r="A108" s="8" t="s">
        <v>53</v>
      </c>
      <c r="B108" s="29" t="s">
        <v>336</v>
      </c>
      <c r="C108" s="8" t="s">
        <v>337</v>
      </c>
      <c r="D108" s="8" t="s">
        <v>371</v>
      </c>
      <c r="E108" s="69" t="s">
        <v>372</v>
      </c>
      <c r="F108" s="8" t="s">
        <v>2592</v>
      </c>
      <c r="G108" s="8" t="s">
        <v>58</v>
      </c>
      <c r="H108" s="8" t="s">
        <v>352</v>
      </c>
      <c r="I108" s="9">
        <v>1</v>
      </c>
      <c r="J108" s="8" t="s">
        <v>1090</v>
      </c>
      <c r="K108" s="9"/>
      <c r="L108" s="283"/>
      <c r="M108" s="9"/>
      <c r="N108" s="9"/>
      <c r="O108" s="281"/>
      <c r="P108" s="8"/>
      <c r="Q108" s="282"/>
      <c r="R108" s="37"/>
      <c r="S108" s="9"/>
      <c r="T108" s="9"/>
      <c r="U108" s="9"/>
      <c r="V108" s="9"/>
      <c r="W108" s="9"/>
      <c r="X108" s="9"/>
      <c r="Y108" s="9"/>
      <c r="Z108" s="9"/>
      <c r="AA108" s="8"/>
    </row>
    <row r="109" spans="1:27" ht="56.25" hidden="1">
      <c r="A109" s="8" t="s">
        <v>53</v>
      </c>
      <c r="B109" s="29" t="s">
        <v>336</v>
      </c>
      <c r="C109" s="8" t="s">
        <v>337</v>
      </c>
      <c r="D109" s="8" t="s">
        <v>373</v>
      </c>
      <c r="E109" s="69" t="s">
        <v>374</v>
      </c>
      <c r="F109" s="8" t="s">
        <v>2592</v>
      </c>
      <c r="G109" s="8" t="s">
        <v>58</v>
      </c>
      <c r="H109" s="8" t="s">
        <v>352</v>
      </c>
      <c r="I109" s="9">
        <v>1</v>
      </c>
      <c r="J109" s="8" t="s">
        <v>1090</v>
      </c>
      <c r="K109" s="9"/>
      <c r="L109" s="283"/>
      <c r="M109" s="9"/>
      <c r="N109" s="9"/>
      <c r="O109" s="281"/>
      <c r="P109" s="8"/>
      <c r="Q109" s="282"/>
      <c r="R109" s="37"/>
      <c r="S109" s="9"/>
      <c r="T109" s="9"/>
      <c r="U109" s="9"/>
      <c r="V109" s="9"/>
      <c r="W109" s="9"/>
      <c r="X109" s="9"/>
      <c r="Y109" s="9"/>
      <c r="Z109" s="9"/>
      <c r="AA109" s="8"/>
    </row>
    <row r="110" spans="1:27" ht="56.25" hidden="1">
      <c r="A110" s="8" t="s">
        <v>53</v>
      </c>
      <c r="B110" s="29" t="s">
        <v>336</v>
      </c>
      <c r="C110" s="8" t="s">
        <v>337</v>
      </c>
      <c r="D110" s="8" t="s">
        <v>375</v>
      </c>
      <c r="E110" s="69" t="s">
        <v>376</v>
      </c>
      <c r="F110" s="8" t="s">
        <v>2592</v>
      </c>
      <c r="G110" s="8" t="s">
        <v>58</v>
      </c>
      <c r="H110" s="8" t="s">
        <v>352</v>
      </c>
      <c r="I110" s="9">
        <v>1</v>
      </c>
      <c r="J110" s="8" t="s">
        <v>1090</v>
      </c>
      <c r="K110" s="9"/>
      <c r="L110" s="283"/>
      <c r="M110" s="9"/>
      <c r="N110" s="9"/>
      <c r="O110" s="281"/>
      <c r="P110" s="8"/>
      <c r="Q110" s="282"/>
      <c r="R110" s="37"/>
      <c r="S110" s="9"/>
      <c r="T110" s="9"/>
      <c r="U110" s="9"/>
      <c r="V110" s="9"/>
      <c r="W110" s="9"/>
      <c r="X110" s="9"/>
      <c r="Y110" s="9"/>
      <c r="Z110" s="9"/>
      <c r="AA110" s="8"/>
    </row>
    <row r="111" spans="1:27" ht="56.25" hidden="1">
      <c r="A111" s="8" t="s">
        <v>53</v>
      </c>
      <c r="B111" s="29" t="s">
        <v>336</v>
      </c>
      <c r="C111" s="8" t="s">
        <v>337</v>
      </c>
      <c r="D111" s="8" t="s">
        <v>377</v>
      </c>
      <c r="E111" s="69" t="s">
        <v>378</v>
      </c>
      <c r="F111" s="8" t="s">
        <v>2592</v>
      </c>
      <c r="G111" s="8" t="s">
        <v>58</v>
      </c>
      <c r="H111" s="8" t="s">
        <v>352</v>
      </c>
      <c r="I111" s="9">
        <v>1</v>
      </c>
      <c r="J111" s="8" t="s">
        <v>1090</v>
      </c>
      <c r="K111" s="9"/>
      <c r="L111" s="283"/>
      <c r="M111" s="9"/>
      <c r="N111" s="9"/>
      <c r="O111" s="281"/>
      <c r="P111" s="8"/>
      <c r="Q111" s="282"/>
      <c r="R111" s="37"/>
      <c r="S111" s="9"/>
      <c r="T111" s="9"/>
      <c r="U111" s="9"/>
      <c r="V111" s="9"/>
      <c r="W111" s="9"/>
      <c r="X111" s="9"/>
      <c r="Y111" s="9"/>
      <c r="Z111" s="9"/>
      <c r="AA111" s="8"/>
    </row>
    <row r="112" spans="1:27" ht="56.25" hidden="1">
      <c r="A112" s="8" t="s">
        <v>53</v>
      </c>
      <c r="B112" s="29" t="s">
        <v>336</v>
      </c>
      <c r="C112" s="8" t="s">
        <v>337</v>
      </c>
      <c r="D112" s="8" t="s">
        <v>379</v>
      </c>
      <c r="E112" s="69" t="s">
        <v>380</v>
      </c>
      <c r="F112" s="8" t="s">
        <v>2592</v>
      </c>
      <c r="G112" s="8" t="s">
        <v>58</v>
      </c>
      <c r="H112" s="8" t="s">
        <v>352</v>
      </c>
      <c r="I112" s="9">
        <v>1</v>
      </c>
      <c r="J112" s="8" t="s">
        <v>1090</v>
      </c>
      <c r="K112" s="9"/>
      <c r="L112" s="283"/>
      <c r="M112" s="9"/>
      <c r="N112" s="9"/>
      <c r="O112" s="281"/>
      <c r="P112" s="8"/>
      <c r="Q112" s="282"/>
      <c r="R112" s="37"/>
      <c r="S112" s="9"/>
      <c r="T112" s="9"/>
      <c r="U112" s="9"/>
      <c r="V112" s="9"/>
      <c r="W112" s="9"/>
      <c r="X112" s="9"/>
      <c r="Y112" s="9"/>
      <c r="Z112" s="9"/>
      <c r="AA112" s="8"/>
    </row>
    <row r="113" spans="1:27" ht="56.25" hidden="1">
      <c r="A113" s="8" t="s">
        <v>53</v>
      </c>
      <c r="B113" s="29" t="s">
        <v>336</v>
      </c>
      <c r="C113" s="8" t="s">
        <v>337</v>
      </c>
      <c r="D113" s="8" t="s">
        <v>381</v>
      </c>
      <c r="E113" s="69" t="s">
        <v>382</v>
      </c>
      <c r="F113" s="8" t="s">
        <v>2592</v>
      </c>
      <c r="G113" s="8" t="s">
        <v>58</v>
      </c>
      <c r="H113" s="8" t="s">
        <v>352</v>
      </c>
      <c r="I113" s="9">
        <v>1</v>
      </c>
      <c r="J113" s="8" t="s">
        <v>1090</v>
      </c>
      <c r="K113" s="9"/>
      <c r="L113" s="283"/>
      <c r="M113" s="9"/>
      <c r="N113" s="9"/>
      <c r="O113" s="281"/>
      <c r="P113" s="8"/>
      <c r="Q113" s="282"/>
      <c r="R113" s="37"/>
      <c r="S113" s="9"/>
      <c r="T113" s="9"/>
      <c r="U113" s="9"/>
      <c r="V113" s="9"/>
      <c r="W113" s="9"/>
      <c r="X113" s="9"/>
      <c r="Y113" s="9"/>
      <c r="Z113" s="9"/>
      <c r="AA113" s="8"/>
    </row>
    <row r="114" spans="1:27" ht="56.25" hidden="1">
      <c r="A114" s="8" t="s">
        <v>53</v>
      </c>
      <c r="B114" s="29" t="s">
        <v>336</v>
      </c>
      <c r="C114" s="8" t="s">
        <v>337</v>
      </c>
      <c r="D114" s="8" t="s">
        <v>383</v>
      </c>
      <c r="E114" s="69" t="s">
        <v>384</v>
      </c>
      <c r="F114" s="8" t="s">
        <v>2592</v>
      </c>
      <c r="G114" s="8" t="s">
        <v>58</v>
      </c>
      <c r="H114" s="8" t="s">
        <v>352</v>
      </c>
      <c r="I114" s="9">
        <v>1</v>
      </c>
      <c r="J114" s="8" t="s">
        <v>1090</v>
      </c>
      <c r="K114" s="9"/>
      <c r="L114" s="283"/>
      <c r="M114" s="9"/>
      <c r="N114" s="9"/>
      <c r="O114" s="281"/>
      <c r="P114" s="8"/>
      <c r="Q114" s="282"/>
      <c r="R114" s="37"/>
      <c r="S114" s="9"/>
      <c r="T114" s="9"/>
      <c r="U114" s="9"/>
      <c r="V114" s="9"/>
      <c r="W114" s="9"/>
      <c r="X114" s="9"/>
      <c r="Y114" s="9"/>
      <c r="Z114" s="9"/>
      <c r="AA114" s="8"/>
    </row>
    <row r="115" spans="1:27" ht="56.25" hidden="1">
      <c r="A115" s="8" t="s">
        <v>53</v>
      </c>
      <c r="B115" s="29" t="s">
        <v>336</v>
      </c>
      <c r="C115" s="8" t="s">
        <v>337</v>
      </c>
      <c r="D115" s="8" t="s">
        <v>385</v>
      </c>
      <c r="E115" s="69" t="s">
        <v>386</v>
      </c>
      <c r="F115" s="8" t="s">
        <v>2592</v>
      </c>
      <c r="G115" s="8" t="s">
        <v>58</v>
      </c>
      <c r="H115" s="8" t="s">
        <v>352</v>
      </c>
      <c r="I115" s="9">
        <v>1</v>
      </c>
      <c r="J115" s="9" t="s">
        <v>8</v>
      </c>
      <c r="K115" s="9"/>
      <c r="L115" s="283"/>
      <c r="M115" s="9"/>
      <c r="N115" s="9"/>
      <c r="O115" s="281"/>
      <c r="P115" s="8"/>
      <c r="Q115" s="282"/>
      <c r="R115" s="37"/>
      <c r="S115" s="9"/>
      <c r="T115" s="9"/>
      <c r="U115" s="9"/>
      <c r="V115" s="9"/>
      <c r="W115" s="9"/>
      <c r="X115" s="9"/>
      <c r="Y115" s="9"/>
      <c r="Z115" s="9"/>
      <c r="AA115" s="8"/>
    </row>
    <row r="116" spans="1:27" ht="56.25" hidden="1">
      <c r="A116" s="8" t="s">
        <v>53</v>
      </c>
      <c r="B116" s="29" t="s">
        <v>336</v>
      </c>
      <c r="C116" s="8" t="s">
        <v>337</v>
      </c>
      <c r="D116" s="8" t="s">
        <v>387</v>
      </c>
      <c r="E116" s="69" t="s">
        <v>388</v>
      </c>
      <c r="F116" s="8" t="s">
        <v>2592</v>
      </c>
      <c r="G116" s="8" t="s">
        <v>58</v>
      </c>
      <c r="H116" s="8" t="s">
        <v>352</v>
      </c>
      <c r="I116" s="9">
        <v>1</v>
      </c>
      <c r="J116" s="8" t="s">
        <v>1090</v>
      </c>
      <c r="K116" s="9"/>
      <c r="L116" s="283"/>
      <c r="M116" s="9"/>
      <c r="N116" s="9"/>
      <c r="O116" s="281"/>
      <c r="P116" s="8"/>
      <c r="Q116" s="282"/>
      <c r="R116" s="37"/>
      <c r="S116" s="9"/>
      <c r="T116" s="9"/>
      <c r="U116" s="9"/>
      <c r="V116" s="9"/>
      <c r="W116" s="9"/>
      <c r="X116" s="9"/>
      <c r="Y116" s="9"/>
      <c r="Z116" s="9"/>
      <c r="AA116" s="8"/>
    </row>
    <row r="117" spans="1:27" ht="56.25" hidden="1">
      <c r="A117" s="8" t="s">
        <v>53</v>
      </c>
      <c r="B117" s="29" t="s">
        <v>336</v>
      </c>
      <c r="C117" s="8" t="s">
        <v>337</v>
      </c>
      <c r="D117" s="8" t="s">
        <v>389</v>
      </c>
      <c r="E117" s="69" t="s">
        <v>390</v>
      </c>
      <c r="F117" s="8" t="s">
        <v>2592</v>
      </c>
      <c r="G117" s="8" t="s">
        <v>58</v>
      </c>
      <c r="H117" s="8" t="s">
        <v>352</v>
      </c>
      <c r="I117" s="9">
        <v>1</v>
      </c>
      <c r="J117" s="8" t="s">
        <v>1090</v>
      </c>
      <c r="K117" s="9"/>
      <c r="L117" s="283"/>
      <c r="M117" s="9"/>
      <c r="N117" s="9"/>
      <c r="O117" s="281"/>
      <c r="P117" s="8"/>
      <c r="Q117" s="282"/>
      <c r="R117" s="37"/>
      <c r="S117" s="9"/>
      <c r="T117" s="9"/>
      <c r="U117" s="9"/>
      <c r="V117" s="9"/>
      <c r="W117" s="9"/>
      <c r="X117" s="9"/>
      <c r="Y117" s="9"/>
      <c r="Z117" s="9"/>
      <c r="AA117" s="8"/>
    </row>
    <row r="118" spans="1:27" ht="63" hidden="1">
      <c r="A118" s="8" t="s">
        <v>53</v>
      </c>
      <c r="B118" s="29" t="s">
        <v>336</v>
      </c>
      <c r="C118" s="8" t="s">
        <v>337</v>
      </c>
      <c r="D118" s="8" t="s">
        <v>391</v>
      </c>
      <c r="E118" s="69" t="s">
        <v>392</v>
      </c>
      <c r="F118" s="8" t="s">
        <v>2592</v>
      </c>
      <c r="G118" s="8" t="s">
        <v>58</v>
      </c>
      <c r="H118" s="8" t="s">
        <v>352</v>
      </c>
      <c r="I118" s="9">
        <v>1</v>
      </c>
      <c r="J118" s="9" t="s">
        <v>1090</v>
      </c>
      <c r="K118" s="9" t="s">
        <v>2613</v>
      </c>
      <c r="L118" s="283"/>
      <c r="M118" s="9"/>
      <c r="N118" s="9"/>
      <c r="O118" s="281"/>
      <c r="P118" s="8"/>
      <c r="Q118" s="282"/>
      <c r="R118" s="37"/>
      <c r="S118" s="9"/>
      <c r="T118" s="9"/>
      <c r="U118" s="9"/>
      <c r="V118" s="9"/>
      <c r="W118" s="9"/>
      <c r="X118" s="9"/>
      <c r="Y118" s="9"/>
      <c r="Z118" s="9"/>
      <c r="AA118" s="8"/>
    </row>
    <row r="119" spans="1:27" ht="56.25" hidden="1">
      <c r="A119" s="8" t="s">
        <v>53</v>
      </c>
      <c r="B119" s="29" t="s">
        <v>336</v>
      </c>
      <c r="C119" s="8" t="s">
        <v>337</v>
      </c>
      <c r="D119" s="8" t="s">
        <v>393</v>
      </c>
      <c r="E119" s="69" t="s">
        <v>394</v>
      </c>
      <c r="F119" s="8" t="s">
        <v>2592</v>
      </c>
      <c r="G119" s="8" t="s">
        <v>58</v>
      </c>
      <c r="H119" s="8" t="s">
        <v>352</v>
      </c>
      <c r="I119" s="9">
        <v>1</v>
      </c>
      <c r="J119" s="9" t="s">
        <v>1090</v>
      </c>
      <c r="K119" s="9"/>
      <c r="L119" s="283"/>
      <c r="M119" s="9"/>
      <c r="N119" s="9"/>
      <c r="O119" s="281"/>
      <c r="P119" s="8"/>
      <c r="Q119" s="282"/>
      <c r="R119" s="37"/>
      <c r="S119" s="9"/>
      <c r="T119" s="9"/>
      <c r="U119" s="9"/>
      <c r="V119" s="9"/>
      <c r="W119" s="9"/>
      <c r="X119" s="9"/>
      <c r="Y119" s="9"/>
      <c r="Z119" s="9"/>
      <c r="AA119" s="8"/>
    </row>
    <row r="120" spans="1:27" ht="56.25" hidden="1">
      <c r="A120" s="8" t="s">
        <v>53</v>
      </c>
      <c r="B120" s="29" t="s">
        <v>336</v>
      </c>
      <c r="C120" s="8" t="s">
        <v>337</v>
      </c>
      <c r="D120" s="8" t="s">
        <v>395</v>
      </c>
      <c r="E120" s="69" t="s">
        <v>396</v>
      </c>
      <c r="F120" s="8" t="s">
        <v>2592</v>
      </c>
      <c r="G120" s="8" t="s">
        <v>58</v>
      </c>
      <c r="H120" s="8" t="s">
        <v>352</v>
      </c>
      <c r="I120" s="9">
        <v>1</v>
      </c>
      <c r="J120" s="9" t="s">
        <v>8</v>
      </c>
      <c r="K120" s="9" t="s">
        <v>2614</v>
      </c>
      <c r="L120" s="283"/>
      <c r="M120" s="9"/>
      <c r="N120" s="9"/>
      <c r="O120" s="281"/>
      <c r="P120" s="8"/>
      <c r="Q120" s="282"/>
      <c r="R120" s="37"/>
      <c r="S120" s="9"/>
      <c r="T120" s="9"/>
      <c r="U120" s="9"/>
      <c r="V120" s="9"/>
      <c r="W120" s="9"/>
      <c r="X120" s="9"/>
      <c r="Y120" s="9"/>
      <c r="Z120" s="9"/>
      <c r="AA120" s="8"/>
    </row>
    <row r="121" spans="1:27" ht="56.25" hidden="1">
      <c r="A121" s="8" t="s">
        <v>53</v>
      </c>
      <c r="B121" s="29" t="s">
        <v>336</v>
      </c>
      <c r="C121" s="8" t="s">
        <v>337</v>
      </c>
      <c r="D121" s="8" t="s">
        <v>397</v>
      </c>
      <c r="E121" s="69" t="s">
        <v>398</v>
      </c>
      <c r="F121" s="8" t="s">
        <v>2592</v>
      </c>
      <c r="G121" s="8" t="s">
        <v>58</v>
      </c>
      <c r="H121" s="8" t="s">
        <v>352</v>
      </c>
      <c r="I121" s="9">
        <v>1</v>
      </c>
      <c r="J121" s="9" t="s">
        <v>1090</v>
      </c>
      <c r="K121" s="9"/>
      <c r="L121" s="283"/>
      <c r="M121" s="9"/>
      <c r="N121" s="9"/>
      <c r="O121" s="281"/>
      <c r="P121" s="8"/>
      <c r="Q121" s="282"/>
      <c r="R121" s="37"/>
      <c r="S121" s="9"/>
      <c r="T121" s="9"/>
      <c r="U121" s="9"/>
      <c r="V121" s="9"/>
      <c r="W121" s="9"/>
      <c r="X121" s="9"/>
      <c r="Y121" s="9"/>
      <c r="Z121" s="9"/>
      <c r="AA121" s="8"/>
    </row>
    <row r="122" spans="1:27" ht="56.25" hidden="1">
      <c r="A122" s="8" t="s">
        <v>53</v>
      </c>
      <c r="B122" s="29" t="s">
        <v>336</v>
      </c>
      <c r="C122" s="8" t="s">
        <v>337</v>
      </c>
      <c r="D122" s="8" t="s">
        <v>399</v>
      </c>
      <c r="E122" s="69" t="s">
        <v>400</v>
      </c>
      <c r="F122" s="8" t="s">
        <v>2592</v>
      </c>
      <c r="G122" s="8" t="s">
        <v>58</v>
      </c>
      <c r="H122" s="8" t="s">
        <v>352</v>
      </c>
      <c r="I122" s="9">
        <v>1</v>
      </c>
      <c r="J122" s="9" t="s">
        <v>1090</v>
      </c>
      <c r="K122" s="9"/>
      <c r="L122" s="283"/>
      <c r="M122" s="9"/>
      <c r="N122" s="9"/>
      <c r="O122" s="281"/>
      <c r="P122" s="8"/>
      <c r="Q122" s="282"/>
      <c r="R122" s="37"/>
      <c r="S122" s="9"/>
      <c r="T122" s="9"/>
      <c r="U122" s="9"/>
      <c r="V122" s="9"/>
      <c r="W122" s="9"/>
      <c r="X122" s="9"/>
      <c r="Y122" s="9"/>
      <c r="Z122" s="9"/>
      <c r="AA122" s="8"/>
    </row>
    <row r="123" spans="1:27" ht="56.25" hidden="1">
      <c r="A123" s="8" t="s">
        <v>53</v>
      </c>
      <c r="B123" s="29" t="s">
        <v>336</v>
      </c>
      <c r="C123" s="8" t="s">
        <v>337</v>
      </c>
      <c r="D123" s="8" t="s">
        <v>401</v>
      </c>
      <c r="E123" s="69" t="s">
        <v>402</v>
      </c>
      <c r="F123" s="8" t="s">
        <v>2592</v>
      </c>
      <c r="G123" s="8" t="s">
        <v>58</v>
      </c>
      <c r="H123" s="8" t="s">
        <v>352</v>
      </c>
      <c r="I123" s="9">
        <v>1</v>
      </c>
      <c r="J123" s="9" t="s">
        <v>8</v>
      </c>
      <c r="K123" s="9"/>
      <c r="L123" s="283"/>
      <c r="M123" s="9" t="s">
        <v>9</v>
      </c>
      <c r="N123" s="9" t="s">
        <v>2615</v>
      </c>
      <c r="O123" s="281"/>
      <c r="P123" s="8"/>
      <c r="Q123" s="282"/>
      <c r="R123" s="37"/>
      <c r="S123" s="9"/>
      <c r="T123" s="9"/>
      <c r="U123" s="9"/>
      <c r="V123" s="9"/>
      <c r="W123" s="9"/>
      <c r="X123" s="9"/>
      <c r="Y123" s="9"/>
      <c r="Z123" s="9"/>
      <c r="AA123" s="8"/>
    </row>
    <row r="124" spans="1:27" ht="78.75" hidden="1">
      <c r="A124" s="8" t="s">
        <v>53</v>
      </c>
      <c r="B124" s="29" t="s">
        <v>336</v>
      </c>
      <c r="C124" s="8" t="s">
        <v>337</v>
      </c>
      <c r="D124" s="8" t="s">
        <v>403</v>
      </c>
      <c r="E124" s="69" t="s">
        <v>404</v>
      </c>
      <c r="F124" s="8" t="s">
        <v>2592</v>
      </c>
      <c r="G124" s="8" t="s">
        <v>58</v>
      </c>
      <c r="H124" s="8" t="s">
        <v>352</v>
      </c>
      <c r="I124" s="9">
        <v>1</v>
      </c>
      <c r="J124" s="9" t="s">
        <v>8</v>
      </c>
      <c r="K124" s="9"/>
      <c r="L124" s="283"/>
      <c r="M124" s="9" t="s">
        <v>9</v>
      </c>
      <c r="N124" s="9" t="s">
        <v>2615</v>
      </c>
      <c r="O124" s="281"/>
      <c r="P124" s="8"/>
      <c r="Q124" s="282"/>
      <c r="R124" s="37"/>
      <c r="S124" s="9"/>
      <c r="T124" s="9"/>
      <c r="U124" s="9"/>
      <c r="V124" s="9"/>
      <c r="W124" s="9"/>
      <c r="X124" s="9"/>
      <c r="Y124" s="9"/>
      <c r="Z124" s="9"/>
      <c r="AA124" s="8"/>
    </row>
    <row r="125" spans="1:27" ht="56.25" hidden="1">
      <c r="A125" s="8" t="s">
        <v>53</v>
      </c>
      <c r="B125" s="29" t="s">
        <v>336</v>
      </c>
      <c r="C125" s="8" t="s">
        <v>337</v>
      </c>
      <c r="D125" s="8" t="s">
        <v>405</v>
      </c>
      <c r="E125" s="69" t="s">
        <v>406</v>
      </c>
      <c r="F125" s="8" t="s">
        <v>2592</v>
      </c>
      <c r="G125" s="8" t="s">
        <v>58</v>
      </c>
      <c r="H125" s="8" t="s">
        <v>352</v>
      </c>
      <c r="I125" s="9">
        <v>1</v>
      </c>
      <c r="J125" s="9" t="s">
        <v>8</v>
      </c>
      <c r="K125" s="9" t="s">
        <v>2614</v>
      </c>
      <c r="L125" s="283"/>
      <c r="M125" s="9"/>
      <c r="N125" s="9"/>
      <c r="O125" s="281"/>
      <c r="P125" s="8"/>
      <c r="Q125" s="282"/>
      <c r="R125" s="37"/>
      <c r="S125" s="9"/>
      <c r="T125" s="9"/>
      <c r="U125" s="9"/>
      <c r="V125" s="9"/>
      <c r="W125" s="9"/>
      <c r="X125" s="9"/>
      <c r="Y125" s="9"/>
      <c r="Z125" s="9"/>
      <c r="AA125" s="8"/>
    </row>
    <row r="126" spans="1:27" ht="56.25" hidden="1">
      <c r="A126" s="8" t="s">
        <v>53</v>
      </c>
      <c r="B126" s="29" t="s">
        <v>336</v>
      </c>
      <c r="C126" s="8" t="s">
        <v>337</v>
      </c>
      <c r="D126" s="8" t="s">
        <v>407</v>
      </c>
      <c r="E126" s="69" t="s">
        <v>408</v>
      </c>
      <c r="F126" s="8" t="s">
        <v>2592</v>
      </c>
      <c r="G126" s="8" t="s">
        <v>58</v>
      </c>
      <c r="H126" s="8" t="s">
        <v>352</v>
      </c>
      <c r="I126" s="9">
        <v>1</v>
      </c>
      <c r="J126" s="9" t="s">
        <v>1191</v>
      </c>
      <c r="K126" s="9" t="s">
        <v>2616</v>
      </c>
      <c r="L126" s="283"/>
      <c r="M126" s="9"/>
      <c r="N126" s="9"/>
      <c r="O126" s="281"/>
      <c r="P126" s="8"/>
      <c r="Q126" s="282"/>
      <c r="R126" s="37"/>
      <c r="S126" s="9"/>
      <c r="T126" s="9"/>
      <c r="U126" s="9"/>
      <c r="V126" s="9"/>
      <c r="W126" s="9"/>
      <c r="X126" s="9"/>
      <c r="Y126" s="9"/>
      <c r="Z126" s="9"/>
      <c r="AA126" s="8"/>
    </row>
    <row r="127" spans="1:27" ht="56.25" hidden="1">
      <c r="A127" s="8" t="s">
        <v>53</v>
      </c>
      <c r="B127" s="29" t="s">
        <v>336</v>
      </c>
      <c r="C127" s="8" t="s">
        <v>337</v>
      </c>
      <c r="D127" s="8" t="s">
        <v>409</v>
      </c>
      <c r="E127" s="69" t="s">
        <v>410</v>
      </c>
      <c r="F127" s="8" t="s">
        <v>2592</v>
      </c>
      <c r="G127" s="8" t="s">
        <v>58</v>
      </c>
      <c r="H127" s="8" t="s">
        <v>352</v>
      </c>
      <c r="I127" s="9">
        <v>1</v>
      </c>
      <c r="J127" s="9" t="s">
        <v>8</v>
      </c>
      <c r="K127" s="9"/>
      <c r="L127" s="283"/>
      <c r="M127" s="9"/>
      <c r="N127" s="9"/>
      <c r="O127" s="281"/>
      <c r="P127" s="8"/>
      <c r="Q127" s="282"/>
      <c r="R127" s="37"/>
      <c r="S127" s="9"/>
      <c r="T127" s="9"/>
      <c r="U127" s="9"/>
      <c r="V127" s="9"/>
      <c r="W127" s="9"/>
      <c r="X127" s="9"/>
      <c r="Y127" s="9"/>
      <c r="Z127" s="9"/>
      <c r="AA127" s="8"/>
    </row>
    <row r="128" spans="1:27" ht="56.25" hidden="1">
      <c r="A128" s="8" t="s">
        <v>53</v>
      </c>
      <c r="B128" s="29" t="s">
        <v>336</v>
      </c>
      <c r="C128" s="8" t="s">
        <v>337</v>
      </c>
      <c r="D128" s="8" t="s">
        <v>411</v>
      </c>
      <c r="E128" s="69" t="s">
        <v>412</v>
      </c>
      <c r="F128" s="8" t="s">
        <v>2592</v>
      </c>
      <c r="G128" s="8" t="s">
        <v>58</v>
      </c>
      <c r="H128" s="8" t="s">
        <v>352</v>
      </c>
      <c r="I128" s="9">
        <v>1</v>
      </c>
      <c r="J128" s="9" t="s">
        <v>1090</v>
      </c>
      <c r="K128" s="9" t="s">
        <v>2617</v>
      </c>
      <c r="L128" s="283"/>
      <c r="M128" s="9"/>
      <c r="N128" s="9"/>
      <c r="O128" s="281"/>
      <c r="P128" s="8"/>
      <c r="Q128" s="282"/>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t="s">
        <v>2592</v>
      </c>
      <c r="G129" s="8" t="s">
        <v>62</v>
      </c>
      <c r="H129" s="8" t="s">
        <v>416</v>
      </c>
      <c r="I129" s="8">
        <v>6</v>
      </c>
      <c r="J129" s="9" t="s">
        <v>1090</v>
      </c>
      <c r="K129" s="8"/>
      <c r="L129" s="283"/>
      <c r="M129" s="8"/>
      <c r="N129" s="8"/>
      <c r="O129" s="281"/>
      <c r="P129" s="8"/>
      <c r="Q129" s="132"/>
      <c r="R129" s="38"/>
      <c r="S129" s="8"/>
      <c r="T129" s="8"/>
      <c r="U129" s="8"/>
      <c r="V129" s="8"/>
      <c r="W129" s="8"/>
      <c r="X129" s="8"/>
      <c r="Y129" s="8"/>
      <c r="Z129" s="8"/>
      <c r="AA129" s="8"/>
    </row>
    <row r="130" spans="1:27" ht="63" hidden="1">
      <c r="A130" s="8" t="s">
        <v>53</v>
      </c>
      <c r="B130" s="29" t="s">
        <v>336</v>
      </c>
      <c r="C130" s="8" t="s">
        <v>413</v>
      </c>
      <c r="D130" s="8" t="s">
        <v>417</v>
      </c>
      <c r="E130" s="8" t="s">
        <v>418</v>
      </c>
      <c r="F130" s="8" t="s">
        <v>2592</v>
      </c>
      <c r="G130" s="8" t="s">
        <v>62</v>
      </c>
      <c r="H130" s="8" t="s">
        <v>419</v>
      </c>
      <c r="I130" s="8" t="s">
        <v>420</v>
      </c>
      <c r="J130" s="9" t="s">
        <v>1090</v>
      </c>
      <c r="K130" s="8" t="s">
        <v>2618</v>
      </c>
      <c r="L130" s="283"/>
      <c r="M130" s="8"/>
      <c r="N130" s="8"/>
      <c r="O130" s="281"/>
      <c r="P130" s="8"/>
      <c r="Q130" s="132"/>
      <c r="R130" s="38"/>
      <c r="S130" s="8"/>
      <c r="T130" s="8"/>
      <c r="U130" s="8"/>
      <c r="V130" s="8"/>
      <c r="W130" s="8"/>
      <c r="X130" s="8"/>
      <c r="Y130" s="8"/>
      <c r="Z130" s="8"/>
      <c r="AA130" s="8"/>
    </row>
    <row r="131" spans="1:27" ht="63" hidden="1">
      <c r="A131" s="8" t="s">
        <v>53</v>
      </c>
      <c r="B131" s="29" t="s">
        <v>336</v>
      </c>
      <c r="C131" s="8" t="s">
        <v>413</v>
      </c>
      <c r="D131" s="8" t="s">
        <v>421</v>
      </c>
      <c r="E131" s="8" t="s">
        <v>422</v>
      </c>
      <c r="F131" s="20"/>
      <c r="G131" s="20" t="s">
        <v>58</v>
      </c>
      <c r="H131" s="20"/>
      <c r="I131" s="22"/>
      <c r="J131" s="20"/>
      <c r="K131" s="20"/>
      <c r="L131" s="278"/>
      <c r="M131" s="20"/>
      <c r="N131" s="20"/>
      <c r="O131" s="279"/>
      <c r="P131" s="20"/>
      <c r="Q131" s="132"/>
      <c r="R131" s="39"/>
      <c r="S131" s="20"/>
      <c r="T131" s="20"/>
      <c r="U131" s="20"/>
      <c r="V131" s="20"/>
      <c r="W131" s="20"/>
      <c r="X131" s="20"/>
      <c r="Y131" s="20"/>
      <c r="Z131" s="20"/>
      <c r="AA131" s="20"/>
    </row>
    <row r="132" spans="1:27" ht="63" hidden="1">
      <c r="A132" s="8" t="s">
        <v>53</v>
      </c>
      <c r="B132" s="29" t="s">
        <v>336</v>
      </c>
      <c r="C132" s="8" t="s">
        <v>413</v>
      </c>
      <c r="D132" s="8" t="s">
        <v>423</v>
      </c>
      <c r="E132" s="69" t="s">
        <v>424</v>
      </c>
      <c r="F132" s="8" t="s">
        <v>2592</v>
      </c>
      <c r="G132" s="8" t="s">
        <v>58</v>
      </c>
      <c r="H132" s="8" t="s">
        <v>425</v>
      </c>
      <c r="I132" s="8" t="s">
        <v>210</v>
      </c>
      <c r="J132" s="9" t="s">
        <v>1090</v>
      </c>
      <c r="K132" s="8"/>
      <c r="L132" s="283"/>
      <c r="M132" s="8"/>
      <c r="N132" s="8"/>
      <c r="O132" s="281"/>
      <c r="P132" s="8"/>
      <c r="Q132" s="132"/>
      <c r="R132" s="38"/>
      <c r="S132" s="8"/>
      <c r="T132" s="8"/>
      <c r="U132" s="8"/>
      <c r="V132" s="8"/>
      <c r="W132" s="8"/>
      <c r="X132" s="8"/>
      <c r="Y132" s="8"/>
      <c r="Z132" s="8"/>
      <c r="AA132" s="8"/>
    </row>
    <row r="133" spans="1:27" ht="63" hidden="1">
      <c r="A133" s="8" t="s">
        <v>53</v>
      </c>
      <c r="B133" s="29" t="s">
        <v>336</v>
      </c>
      <c r="C133" s="8" t="s">
        <v>413</v>
      </c>
      <c r="D133" s="8" t="s">
        <v>426</v>
      </c>
      <c r="E133" s="69" t="s">
        <v>427</v>
      </c>
      <c r="F133" s="8" t="s">
        <v>2592</v>
      </c>
      <c r="G133" s="8" t="s">
        <v>58</v>
      </c>
      <c r="H133" s="8" t="s">
        <v>428</v>
      </c>
      <c r="I133" s="8" t="s">
        <v>210</v>
      </c>
      <c r="J133" s="9" t="s">
        <v>1090</v>
      </c>
      <c r="K133" s="8"/>
      <c r="L133" s="283"/>
      <c r="M133" s="8"/>
      <c r="N133" s="8"/>
      <c r="O133" s="281"/>
      <c r="P133" s="8"/>
      <c r="Q133" s="132"/>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283"/>
      <c r="M134" s="8"/>
      <c r="N134" s="8"/>
      <c r="O134" s="281"/>
      <c r="P134" s="8"/>
      <c r="Q134" s="132"/>
      <c r="R134" s="38"/>
      <c r="S134" s="8"/>
      <c r="T134" s="8"/>
      <c r="U134" s="8"/>
      <c r="V134" s="8"/>
      <c r="W134" s="8"/>
      <c r="X134" s="8"/>
      <c r="Y134" s="8"/>
      <c r="Z134" s="8"/>
      <c r="AA134" s="8"/>
    </row>
    <row r="135" spans="1:27" ht="78.75" hidden="1">
      <c r="A135" s="8" t="s">
        <v>53</v>
      </c>
      <c r="B135" s="29" t="s">
        <v>336</v>
      </c>
      <c r="C135" s="8" t="s">
        <v>429</v>
      </c>
      <c r="D135" s="8" t="s">
        <v>433</v>
      </c>
      <c r="E135" s="8" t="s">
        <v>434</v>
      </c>
      <c r="F135" s="20"/>
      <c r="G135" s="20" t="s">
        <v>58</v>
      </c>
      <c r="H135" s="20" t="s">
        <v>435</v>
      </c>
      <c r="I135" s="22" t="s">
        <v>210</v>
      </c>
      <c r="J135" s="20"/>
      <c r="K135" s="20"/>
      <c r="L135" s="278"/>
      <c r="M135" s="20"/>
      <c r="N135" s="20"/>
      <c r="O135" s="279"/>
      <c r="P135" s="20"/>
      <c r="Q135" s="132"/>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t="s">
        <v>2592</v>
      </c>
      <c r="G136" s="8" t="s">
        <v>58</v>
      </c>
      <c r="H136" s="8" t="s">
        <v>435</v>
      </c>
      <c r="I136" s="8" t="s">
        <v>210</v>
      </c>
      <c r="J136" s="9" t="s">
        <v>1090</v>
      </c>
      <c r="K136" s="8"/>
      <c r="L136" s="283"/>
      <c r="M136" s="8"/>
      <c r="N136" s="8"/>
      <c r="O136" s="281"/>
      <c r="P136" s="8"/>
      <c r="Q136" s="132"/>
      <c r="R136" s="38"/>
      <c r="S136" s="8"/>
      <c r="T136" s="8"/>
      <c r="U136" s="8"/>
      <c r="V136" s="8"/>
      <c r="W136" s="8"/>
      <c r="X136" s="8"/>
      <c r="Y136" s="8"/>
      <c r="Z136" s="8"/>
      <c r="AA136" s="8"/>
    </row>
    <row r="137" spans="1:27" ht="78.75" hidden="1">
      <c r="A137" s="8" t="s">
        <v>53</v>
      </c>
      <c r="B137" s="29" t="s">
        <v>336</v>
      </c>
      <c r="C137" s="8" t="s">
        <v>429</v>
      </c>
      <c r="D137" s="8" t="s">
        <v>438</v>
      </c>
      <c r="E137" s="69" t="s">
        <v>439</v>
      </c>
      <c r="F137" s="8" t="s">
        <v>2592</v>
      </c>
      <c r="G137" s="8" t="s">
        <v>58</v>
      </c>
      <c r="H137" s="8" t="s">
        <v>435</v>
      </c>
      <c r="I137" s="8" t="s">
        <v>210</v>
      </c>
      <c r="J137" s="9" t="s">
        <v>1090</v>
      </c>
      <c r="K137" s="8"/>
      <c r="L137" s="283"/>
      <c r="M137" s="8"/>
      <c r="N137" s="8"/>
      <c r="O137" s="281"/>
      <c r="P137" s="8"/>
      <c r="Q137" s="132"/>
      <c r="R137" s="38"/>
      <c r="S137" s="8"/>
      <c r="T137" s="8"/>
      <c r="U137" s="8"/>
      <c r="V137" s="8"/>
      <c r="W137" s="8"/>
      <c r="X137" s="8"/>
      <c r="Y137" s="8"/>
      <c r="Z137" s="8"/>
      <c r="AA137" s="8"/>
    </row>
    <row r="138" spans="1:27" ht="78.75" hidden="1">
      <c r="A138" s="8" t="s">
        <v>53</v>
      </c>
      <c r="B138" s="29" t="s">
        <v>336</v>
      </c>
      <c r="C138" s="8" t="s">
        <v>429</v>
      </c>
      <c r="D138" s="8" t="s">
        <v>440</v>
      </c>
      <c r="E138" s="69" t="s">
        <v>441</v>
      </c>
      <c r="F138" s="8" t="s">
        <v>2592</v>
      </c>
      <c r="G138" s="8" t="s">
        <v>58</v>
      </c>
      <c r="H138" s="8" t="s">
        <v>435</v>
      </c>
      <c r="I138" s="8" t="s">
        <v>210</v>
      </c>
      <c r="J138" s="9" t="s">
        <v>1090</v>
      </c>
      <c r="K138" s="8"/>
      <c r="L138" s="283"/>
      <c r="M138" s="8"/>
      <c r="N138" s="8"/>
      <c r="O138" s="281"/>
      <c r="P138" s="8"/>
      <c r="Q138" s="132"/>
      <c r="R138" s="38"/>
      <c r="S138" s="8"/>
      <c r="T138" s="8"/>
      <c r="U138" s="8"/>
      <c r="V138" s="8"/>
      <c r="W138" s="8"/>
      <c r="X138" s="8"/>
      <c r="Y138" s="8"/>
      <c r="Z138" s="8"/>
      <c r="AA138" s="8"/>
    </row>
    <row r="139" spans="1:27" ht="78.75" hidden="1">
      <c r="A139" s="8" t="s">
        <v>53</v>
      </c>
      <c r="B139" s="29" t="s">
        <v>336</v>
      </c>
      <c r="C139" s="8" t="s">
        <v>429</v>
      </c>
      <c r="D139" s="8" t="s">
        <v>442</v>
      </c>
      <c r="E139" s="69" t="s">
        <v>443</v>
      </c>
      <c r="F139" s="8" t="s">
        <v>2592</v>
      </c>
      <c r="G139" s="8" t="s">
        <v>58</v>
      </c>
      <c r="H139" s="8" t="s">
        <v>435</v>
      </c>
      <c r="I139" s="8" t="s">
        <v>210</v>
      </c>
      <c r="J139" s="9" t="s">
        <v>1090</v>
      </c>
      <c r="K139" s="8"/>
      <c r="L139" s="283"/>
      <c r="M139" s="8"/>
      <c r="N139" s="8"/>
      <c r="O139" s="281"/>
      <c r="P139" s="8"/>
      <c r="Q139" s="132"/>
      <c r="R139" s="38"/>
      <c r="S139" s="8"/>
      <c r="T139" s="8"/>
      <c r="U139" s="8"/>
      <c r="V139" s="8"/>
      <c r="W139" s="8"/>
      <c r="X139" s="8"/>
      <c r="Y139" s="8"/>
      <c r="Z139" s="8"/>
      <c r="AA139" s="8"/>
    </row>
    <row r="140" spans="1:27" ht="78.75" hidden="1">
      <c r="A140" s="8" t="s">
        <v>53</v>
      </c>
      <c r="B140" s="29" t="s">
        <v>336</v>
      </c>
      <c r="C140" s="8" t="s">
        <v>429</v>
      </c>
      <c r="D140" s="8" t="s">
        <v>444</v>
      </c>
      <c r="E140" s="69" t="s">
        <v>445</v>
      </c>
      <c r="F140" s="8" t="s">
        <v>2592</v>
      </c>
      <c r="G140" s="8" t="s">
        <v>58</v>
      </c>
      <c r="H140" s="8" t="s">
        <v>435</v>
      </c>
      <c r="I140" s="8" t="s">
        <v>210</v>
      </c>
      <c r="J140" s="9" t="s">
        <v>1090</v>
      </c>
      <c r="K140" s="8"/>
      <c r="L140" s="283"/>
      <c r="M140" s="8"/>
      <c r="N140" s="8"/>
      <c r="O140" s="281"/>
      <c r="P140" s="8"/>
      <c r="Q140" s="132"/>
      <c r="R140" s="38"/>
      <c r="S140" s="8"/>
      <c r="T140" s="8"/>
      <c r="U140" s="8"/>
      <c r="V140" s="8"/>
      <c r="W140" s="8"/>
      <c r="X140" s="8"/>
      <c r="Y140" s="8"/>
      <c r="Z140" s="8"/>
      <c r="AA140" s="8"/>
    </row>
    <row r="141" spans="1:27" ht="78.75" hidden="1">
      <c r="A141" s="8" t="s">
        <v>53</v>
      </c>
      <c r="B141" s="29" t="s">
        <v>336</v>
      </c>
      <c r="C141" s="8" t="s">
        <v>429</v>
      </c>
      <c r="D141" s="8" t="s">
        <v>446</v>
      </c>
      <c r="E141" s="69" t="s">
        <v>447</v>
      </c>
      <c r="F141" s="8" t="s">
        <v>2590</v>
      </c>
      <c r="G141" s="8" t="s">
        <v>58</v>
      </c>
      <c r="H141" s="8" t="s">
        <v>435</v>
      </c>
      <c r="I141" s="8" t="s">
        <v>210</v>
      </c>
      <c r="J141" s="8" t="s">
        <v>8</v>
      </c>
      <c r="K141" s="8" t="s">
        <v>2619</v>
      </c>
      <c r="L141" s="283"/>
      <c r="M141" s="8" t="s">
        <v>10</v>
      </c>
      <c r="N141" s="8"/>
      <c r="O141" s="281"/>
      <c r="P141" s="8"/>
      <c r="Q141" s="132"/>
      <c r="R141" s="38"/>
      <c r="S141" s="8"/>
      <c r="T141" s="8"/>
      <c r="U141" s="8"/>
      <c r="V141" s="8"/>
      <c r="W141" s="8"/>
      <c r="X141" s="8"/>
      <c r="Y141" s="8"/>
      <c r="Z141" s="8"/>
      <c r="AA141" s="8"/>
    </row>
    <row r="142" spans="1:27" ht="78.75" hidden="1">
      <c r="A142" s="8" t="s">
        <v>53</v>
      </c>
      <c r="B142" s="29" t="s">
        <v>336</v>
      </c>
      <c r="C142" s="8" t="s">
        <v>429</v>
      </c>
      <c r="D142" s="8" t="s">
        <v>448</v>
      </c>
      <c r="E142" s="8" t="s">
        <v>449</v>
      </c>
      <c r="F142" s="20"/>
      <c r="G142" s="20" t="s">
        <v>58</v>
      </c>
      <c r="H142" s="20" t="s">
        <v>450</v>
      </c>
      <c r="I142" s="22" t="s">
        <v>210</v>
      </c>
      <c r="J142" s="20"/>
      <c r="K142" s="20"/>
      <c r="L142" s="278"/>
      <c r="M142" s="20"/>
      <c r="N142" s="20"/>
      <c r="O142" s="279"/>
      <c r="P142" s="20"/>
      <c r="Q142" s="132"/>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t="s">
        <v>2590</v>
      </c>
      <c r="G143" s="8" t="s">
        <v>58</v>
      </c>
      <c r="H143" s="8" t="s">
        <v>450</v>
      </c>
      <c r="I143" s="8" t="s">
        <v>210</v>
      </c>
      <c r="J143" s="9" t="s">
        <v>1090</v>
      </c>
      <c r="K143" s="8"/>
      <c r="L143" s="283"/>
      <c r="M143" s="8"/>
      <c r="N143" s="8"/>
      <c r="O143" s="281"/>
      <c r="P143" s="8"/>
      <c r="Q143" s="132"/>
      <c r="R143" s="38"/>
      <c r="S143" s="8"/>
      <c r="T143" s="8"/>
      <c r="U143" s="8"/>
      <c r="V143" s="8"/>
      <c r="W143" s="8"/>
      <c r="X143" s="8"/>
      <c r="Y143" s="8"/>
      <c r="Z143" s="8"/>
      <c r="AA143" s="8"/>
    </row>
    <row r="144" spans="1:27" ht="78.75" hidden="1">
      <c r="A144" s="8" t="s">
        <v>53</v>
      </c>
      <c r="B144" s="29" t="s">
        <v>336</v>
      </c>
      <c r="C144" s="8" t="s">
        <v>429</v>
      </c>
      <c r="D144" s="8" t="s">
        <v>453</v>
      </c>
      <c r="E144" s="69" t="s">
        <v>454</v>
      </c>
      <c r="F144" s="8" t="s">
        <v>2590</v>
      </c>
      <c r="G144" s="8" t="s">
        <v>58</v>
      </c>
      <c r="H144" s="8" t="s">
        <v>450</v>
      </c>
      <c r="I144" s="8" t="s">
        <v>210</v>
      </c>
      <c r="J144" s="9" t="s">
        <v>1090</v>
      </c>
      <c r="K144" s="8"/>
      <c r="L144" s="283"/>
      <c r="M144" s="8"/>
      <c r="N144" s="8"/>
      <c r="O144" s="281"/>
      <c r="P144" s="8"/>
      <c r="Q144" s="132"/>
      <c r="R144" s="38"/>
      <c r="S144" s="8"/>
      <c r="T144" s="8"/>
      <c r="U144" s="8"/>
      <c r="V144" s="8"/>
      <c r="W144" s="8"/>
      <c r="X144" s="8"/>
      <c r="Y144" s="8"/>
      <c r="Z144" s="8"/>
      <c r="AA144" s="8"/>
    </row>
    <row r="145" spans="1:27" ht="78.75" hidden="1">
      <c r="A145" s="8" t="s">
        <v>53</v>
      </c>
      <c r="B145" s="29" t="s">
        <v>336</v>
      </c>
      <c r="C145" s="8" t="s">
        <v>429</v>
      </c>
      <c r="D145" s="8" t="s">
        <v>455</v>
      </c>
      <c r="E145" s="69" t="s">
        <v>456</v>
      </c>
      <c r="F145" s="8" t="s">
        <v>2590</v>
      </c>
      <c r="G145" s="8" t="s">
        <v>58</v>
      </c>
      <c r="H145" s="8" t="s">
        <v>450</v>
      </c>
      <c r="I145" s="8" t="s">
        <v>210</v>
      </c>
      <c r="J145" s="9" t="s">
        <v>1090</v>
      </c>
      <c r="K145" s="8"/>
      <c r="L145" s="283"/>
      <c r="M145" s="8"/>
      <c r="N145" s="8"/>
      <c r="O145" s="281"/>
      <c r="P145" s="8"/>
      <c r="Q145" s="132"/>
      <c r="R145" s="38"/>
      <c r="S145" s="8"/>
      <c r="T145" s="8"/>
      <c r="U145" s="8"/>
      <c r="V145" s="8"/>
      <c r="W145" s="8"/>
      <c r="X145" s="8"/>
      <c r="Y145" s="8"/>
      <c r="Z145" s="8"/>
      <c r="AA145" s="8"/>
    </row>
    <row r="146" spans="1:27" ht="78.75" hidden="1">
      <c r="A146" s="8" t="s">
        <v>53</v>
      </c>
      <c r="B146" s="29" t="s">
        <v>336</v>
      </c>
      <c r="C146" s="8" t="s">
        <v>429</v>
      </c>
      <c r="D146" s="8" t="s">
        <v>457</v>
      </c>
      <c r="E146" s="69" t="s">
        <v>458</v>
      </c>
      <c r="F146" s="8" t="s">
        <v>2590</v>
      </c>
      <c r="G146" s="8" t="s">
        <v>58</v>
      </c>
      <c r="H146" s="8" t="s">
        <v>450</v>
      </c>
      <c r="I146" s="8" t="s">
        <v>210</v>
      </c>
      <c r="J146" s="9" t="s">
        <v>1090</v>
      </c>
      <c r="K146" s="8"/>
      <c r="L146" s="283"/>
      <c r="M146" s="8"/>
      <c r="N146" s="8"/>
      <c r="O146" s="281"/>
      <c r="P146" s="8"/>
      <c r="Q146" s="132"/>
      <c r="R146" s="38"/>
      <c r="S146" s="8"/>
      <c r="T146" s="8"/>
      <c r="U146" s="8"/>
      <c r="V146" s="8"/>
      <c r="W146" s="8"/>
      <c r="X146" s="8"/>
      <c r="Y146" s="8"/>
      <c r="Z146" s="8"/>
      <c r="AA146" s="8"/>
    </row>
    <row r="147" spans="1:27" ht="78.75" hidden="1">
      <c r="A147" s="8" t="s">
        <v>53</v>
      </c>
      <c r="B147" s="29" t="s">
        <v>336</v>
      </c>
      <c r="C147" s="8" t="s">
        <v>429</v>
      </c>
      <c r="D147" s="8" t="s">
        <v>459</v>
      </c>
      <c r="E147" s="69" t="s">
        <v>460</v>
      </c>
      <c r="F147" s="8" t="s">
        <v>2590</v>
      </c>
      <c r="G147" s="8" t="s">
        <v>58</v>
      </c>
      <c r="H147" s="8" t="s">
        <v>450</v>
      </c>
      <c r="I147" s="8" t="s">
        <v>210</v>
      </c>
      <c r="J147" s="9" t="s">
        <v>1090</v>
      </c>
      <c r="K147" s="8"/>
      <c r="L147" s="283"/>
      <c r="M147" s="8"/>
      <c r="N147" s="8"/>
      <c r="O147" s="281"/>
      <c r="P147" s="8"/>
      <c r="Q147" s="132"/>
      <c r="R147" s="38"/>
      <c r="S147" s="8"/>
      <c r="T147" s="8"/>
      <c r="U147" s="8"/>
      <c r="V147" s="8"/>
      <c r="W147" s="8"/>
      <c r="X147" s="8"/>
      <c r="Y147" s="8"/>
      <c r="Z147" s="8"/>
      <c r="AA147" s="8"/>
    </row>
    <row r="148" spans="1:27" ht="78.75" hidden="1">
      <c r="A148" s="8" t="s">
        <v>53</v>
      </c>
      <c r="B148" s="29" t="s">
        <v>336</v>
      </c>
      <c r="C148" s="8" t="s">
        <v>429</v>
      </c>
      <c r="D148" s="8" t="s">
        <v>461</v>
      </c>
      <c r="E148" s="69" t="s">
        <v>462</v>
      </c>
      <c r="F148" s="8" t="s">
        <v>2590</v>
      </c>
      <c r="G148" s="8" t="s">
        <v>58</v>
      </c>
      <c r="H148" s="8" t="s">
        <v>450</v>
      </c>
      <c r="I148" s="8" t="s">
        <v>210</v>
      </c>
      <c r="J148" s="9" t="s">
        <v>1090</v>
      </c>
      <c r="K148" s="8"/>
      <c r="L148" s="283"/>
      <c r="M148" s="8"/>
      <c r="N148" s="8"/>
      <c r="O148" s="281"/>
      <c r="P148" s="8"/>
      <c r="Q148" s="132"/>
      <c r="R148" s="38"/>
      <c r="S148" s="8"/>
      <c r="T148" s="8"/>
      <c r="U148" s="8"/>
      <c r="V148" s="8"/>
      <c r="W148" s="8"/>
      <c r="X148" s="8"/>
      <c r="Y148" s="8"/>
      <c r="Z148" s="8"/>
      <c r="AA148" s="8"/>
    </row>
    <row r="149" spans="1:27" ht="78.75" hidden="1">
      <c r="A149" s="8" t="s">
        <v>53</v>
      </c>
      <c r="B149" s="29" t="s">
        <v>336</v>
      </c>
      <c r="C149" s="8" t="s">
        <v>429</v>
      </c>
      <c r="D149" s="8" t="s">
        <v>463</v>
      </c>
      <c r="E149" s="69" t="s">
        <v>464</v>
      </c>
      <c r="F149" s="8" t="s">
        <v>2590</v>
      </c>
      <c r="G149" s="8" t="s">
        <v>58</v>
      </c>
      <c r="H149" s="8" t="s">
        <v>450</v>
      </c>
      <c r="I149" s="8" t="s">
        <v>210</v>
      </c>
      <c r="J149" s="9" t="s">
        <v>1090</v>
      </c>
      <c r="K149" s="8"/>
      <c r="L149" s="283"/>
      <c r="M149" s="8"/>
      <c r="N149" s="8"/>
      <c r="O149" s="281"/>
      <c r="P149" s="8"/>
      <c r="Q149" s="132"/>
      <c r="R149" s="38"/>
      <c r="S149" s="8"/>
      <c r="T149" s="8"/>
      <c r="U149" s="8"/>
      <c r="V149" s="8"/>
      <c r="W149" s="8"/>
      <c r="X149" s="8"/>
      <c r="Y149" s="8"/>
      <c r="Z149" s="8"/>
      <c r="AA149" s="8"/>
    </row>
    <row r="150" spans="1:27" ht="78.75" hidden="1">
      <c r="A150" s="8" t="s">
        <v>53</v>
      </c>
      <c r="B150" s="29" t="s">
        <v>336</v>
      </c>
      <c r="C150" s="8" t="s">
        <v>429</v>
      </c>
      <c r="D150" s="8" t="s">
        <v>465</v>
      </c>
      <c r="E150" s="69" t="s">
        <v>466</v>
      </c>
      <c r="F150" s="8" t="s">
        <v>2590</v>
      </c>
      <c r="G150" s="8" t="s">
        <v>58</v>
      </c>
      <c r="H150" s="8" t="s">
        <v>450</v>
      </c>
      <c r="I150" s="8" t="s">
        <v>210</v>
      </c>
      <c r="J150" s="8" t="s">
        <v>8</v>
      </c>
      <c r="K150" s="8"/>
      <c r="L150" s="283"/>
      <c r="M150" s="8" t="s">
        <v>11</v>
      </c>
      <c r="N150" s="8" t="s">
        <v>2620</v>
      </c>
      <c r="O150" s="281"/>
      <c r="P150" s="8"/>
      <c r="Q150" s="132"/>
      <c r="R150" s="38"/>
      <c r="S150" s="8"/>
      <c r="T150" s="8"/>
      <c r="U150" s="8"/>
      <c r="V150" s="8"/>
      <c r="W150" s="8"/>
      <c r="X150" s="8"/>
      <c r="Y150" s="8"/>
      <c r="Z150" s="8"/>
      <c r="AA150" s="8"/>
    </row>
    <row r="151" spans="1:27" ht="78.75" hidden="1">
      <c r="A151" s="8" t="s">
        <v>53</v>
      </c>
      <c r="B151" s="29" t="s">
        <v>336</v>
      </c>
      <c r="C151" s="8" t="s">
        <v>429</v>
      </c>
      <c r="D151" s="8" t="s">
        <v>467</v>
      </c>
      <c r="E151" s="8" t="s">
        <v>468</v>
      </c>
      <c r="F151" s="8" t="s">
        <v>2590</v>
      </c>
      <c r="G151" s="8" t="s">
        <v>58</v>
      </c>
      <c r="H151" s="8" t="s">
        <v>469</v>
      </c>
      <c r="I151" s="8" t="s">
        <v>210</v>
      </c>
      <c r="J151" s="8" t="s">
        <v>8</v>
      </c>
      <c r="K151" s="8" t="s">
        <v>2619</v>
      </c>
      <c r="L151" s="283"/>
      <c r="M151" s="8" t="s">
        <v>10</v>
      </c>
      <c r="N151" s="8"/>
      <c r="O151" s="281"/>
      <c r="P151" s="8"/>
      <c r="Q151" s="132"/>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283"/>
      <c r="M152" s="8"/>
      <c r="N152" s="8"/>
      <c r="O152" s="281"/>
      <c r="P152" s="8"/>
      <c r="Q152" s="132"/>
      <c r="R152" s="38"/>
      <c r="S152" s="8"/>
      <c r="T152" s="8"/>
      <c r="U152" s="8"/>
      <c r="V152" s="8"/>
      <c r="W152" s="8"/>
      <c r="X152" s="8"/>
      <c r="Y152" s="8"/>
      <c r="Z152" s="8"/>
      <c r="AA152" s="8"/>
    </row>
    <row r="153" spans="1:27" ht="78.75" hidden="1">
      <c r="A153" s="8" t="s">
        <v>53</v>
      </c>
      <c r="B153" s="29" t="s">
        <v>336</v>
      </c>
      <c r="C153" s="8" t="s">
        <v>473</v>
      </c>
      <c r="D153" s="8" t="s">
        <v>474</v>
      </c>
      <c r="E153" s="8" t="s">
        <v>475</v>
      </c>
      <c r="F153" s="8" t="s">
        <v>2592</v>
      </c>
      <c r="G153" s="8" t="s">
        <v>62</v>
      </c>
      <c r="H153" s="8" t="s">
        <v>476</v>
      </c>
      <c r="I153" s="8" t="s">
        <v>210</v>
      </c>
      <c r="J153" s="9" t="s">
        <v>1090</v>
      </c>
      <c r="K153" s="8"/>
      <c r="L153" s="283"/>
      <c r="M153" s="8"/>
      <c r="N153" s="8"/>
      <c r="O153" s="281"/>
      <c r="P153" s="8"/>
      <c r="Q153" s="132"/>
      <c r="R153" s="38"/>
      <c r="S153" s="8"/>
      <c r="T153" s="8"/>
      <c r="U153" s="8"/>
      <c r="V153" s="8"/>
      <c r="W153" s="8"/>
      <c r="X153" s="8"/>
      <c r="Y153" s="8"/>
      <c r="Z153" s="8"/>
      <c r="AA153" s="8"/>
    </row>
    <row r="154" spans="1:27" ht="94.5" hidden="1">
      <c r="A154" s="8" t="s">
        <v>53</v>
      </c>
      <c r="B154" s="29" t="s">
        <v>336</v>
      </c>
      <c r="C154" s="8" t="s">
        <v>473</v>
      </c>
      <c r="D154" s="8" t="s">
        <v>477</v>
      </c>
      <c r="E154" s="8" t="s">
        <v>478</v>
      </c>
      <c r="F154" s="8" t="s">
        <v>2592</v>
      </c>
      <c r="G154" s="8" t="s">
        <v>62</v>
      </c>
      <c r="H154" s="8" t="s">
        <v>479</v>
      </c>
      <c r="I154" s="8" t="s">
        <v>210</v>
      </c>
      <c r="J154" s="9" t="s">
        <v>1090</v>
      </c>
      <c r="K154" s="8"/>
      <c r="L154" s="283"/>
      <c r="M154" s="8"/>
      <c r="N154" s="8"/>
      <c r="O154" s="281"/>
      <c r="P154" s="8"/>
      <c r="Q154" s="132"/>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t="s">
        <v>2592</v>
      </c>
      <c r="G156" s="8" t="s">
        <v>62</v>
      </c>
      <c r="H156" s="8" t="s">
        <v>484</v>
      </c>
      <c r="I156" s="8" t="s">
        <v>485</v>
      </c>
      <c r="J156" s="8" t="s">
        <v>1090</v>
      </c>
      <c r="K156" s="8"/>
      <c r="L156" s="283"/>
      <c r="M156" s="8"/>
      <c r="N156" s="8"/>
      <c r="O156" s="281"/>
      <c r="P156" s="8"/>
      <c r="Q156" s="132"/>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20"/>
      <c r="G157" s="20" t="s">
        <v>62</v>
      </c>
      <c r="H157" s="20" t="s">
        <v>489</v>
      </c>
      <c r="I157" s="22" t="s">
        <v>490</v>
      </c>
      <c r="J157" s="20"/>
      <c r="K157" s="20"/>
      <c r="L157" s="278"/>
      <c r="M157" s="20"/>
      <c r="N157" s="20"/>
      <c r="O157" s="279"/>
      <c r="P157" s="20"/>
      <c r="Q157" s="132"/>
      <c r="R157" s="39"/>
      <c r="S157" s="20"/>
      <c r="T157" s="20"/>
      <c r="U157" s="20"/>
      <c r="V157" s="20"/>
      <c r="W157" s="20"/>
      <c r="X157" s="20"/>
      <c r="Y157" s="20"/>
      <c r="Z157" s="20"/>
      <c r="AA157" s="20"/>
    </row>
    <row r="158" spans="1:27" ht="94.5" hidden="1">
      <c r="A158" s="8" t="s">
        <v>16</v>
      </c>
      <c r="B158" s="29" t="s">
        <v>54</v>
      </c>
      <c r="C158" s="8" t="s">
        <v>486</v>
      </c>
      <c r="D158" s="8" t="s">
        <v>491</v>
      </c>
      <c r="E158" s="69" t="s">
        <v>492</v>
      </c>
      <c r="F158" s="8" t="s">
        <v>2592</v>
      </c>
      <c r="G158" s="8" t="s">
        <v>62</v>
      </c>
      <c r="H158" s="8" t="s">
        <v>493</v>
      </c>
      <c r="I158" s="8" t="s">
        <v>494</v>
      </c>
      <c r="J158" s="9" t="s">
        <v>1090</v>
      </c>
      <c r="K158" s="8"/>
      <c r="L158" s="283"/>
      <c r="M158" s="8"/>
      <c r="N158" s="8"/>
      <c r="O158" s="281"/>
      <c r="P158" s="8"/>
      <c r="Q158" s="132"/>
      <c r="R158" s="38"/>
      <c r="S158" s="8"/>
      <c r="T158" s="8"/>
      <c r="U158" s="8"/>
      <c r="V158" s="8"/>
      <c r="W158" s="8"/>
      <c r="X158" s="8"/>
      <c r="Y158" s="8"/>
      <c r="Z158" s="8"/>
      <c r="AA158" s="8"/>
    </row>
    <row r="159" spans="1:27" ht="94.5" hidden="1">
      <c r="A159" s="8" t="s">
        <v>16</v>
      </c>
      <c r="B159" s="29" t="s">
        <v>54</v>
      </c>
      <c r="C159" s="8" t="s">
        <v>486</v>
      </c>
      <c r="D159" s="8" t="s">
        <v>495</v>
      </c>
      <c r="E159" s="69" t="s">
        <v>496</v>
      </c>
      <c r="F159" s="8" t="s">
        <v>2592</v>
      </c>
      <c r="G159" s="8" t="s">
        <v>62</v>
      </c>
      <c r="H159" s="8" t="s">
        <v>493</v>
      </c>
      <c r="I159" s="8" t="s">
        <v>494</v>
      </c>
      <c r="J159" s="9" t="s">
        <v>1090</v>
      </c>
      <c r="K159" s="8"/>
      <c r="L159" s="283"/>
      <c r="M159" s="8"/>
      <c r="N159" s="8"/>
      <c r="O159" s="281"/>
      <c r="P159" s="8"/>
      <c r="Q159" s="132"/>
      <c r="R159" s="38"/>
      <c r="S159" s="8"/>
      <c r="T159" s="8"/>
      <c r="U159" s="8"/>
      <c r="V159" s="8"/>
      <c r="W159" s="8"/>
      <c r="X159" s="8"/>
      <c r="Y159" s="8"/>
      <c r="Z159" s="8"/>
      <c r="AA159" s="8"/>
    </row>
    <row r="160" spans="1:27" ht="94.5" hidden="1">
      <c r="A160" s="8" t="s">
        <v>16</v>
      </c>
      <c r="B160" s="29" t="s">
        <v>54</v>
      </c>
      <c r="C160" s="8" t="s">
        <v>486</v>
      </c>
      <c r="D160" s="8" t="s">
        <v>497</v>
      </c>
      <c r="E160" s="69" t="s">
        <v>498</v>
      </c>
      <c r="F160" s="8" t="s">
        <v>2592</v>
      </c>
      <c r="G160" s="8" t="s">
        <v>62</v>
      </c>
      <c r="H160" s="8" t="s">
        <v>493</v>
      </c>
      <c r="I160" s="8" t="s">
        <v>494</v>
      </c>
      <c r="J160" s="9" t="s">
        <v>1090</v>
      </c>
      <c r="K160" s="8"/>
      <c r="L160" s="283"/>
      <c r="M160" s="8"/>
      <c r="N160" s="8"/>
      <c r="O160" s="281"/>
      <c r="P160" s="8"/>
      <c r="Q160" s="132"/>
      <c r="R160" s="38"/>
      <c r="S160" s="8"/>
      <c r="T160" s="8"/>
      <c r="U160" s="8"/>
      <c r="V160" s="8"/>
      <c r="W160" s="8"/>
      <c r="X160" s="8"/>
      <c r="Y160" s="8"/>
      <c r="Z160" s="8"/>
      <c r="AA160" s="8"/>
    </row>
    <row r="161" spans="1:27" ht="94.5" hidden="1">
      <c r="A161" s="8" t="s">
        <v>16</v>
      </c>
      <c r="B161" s="29" t="s">
        <v>54</v>
      </c>
      <c r="C161" s="8" t="s">
        <v>486</v>
      </c>
      <c r="D161" s="8" t="s">
        <v>499</v>
      </c>
      <c r="E161" s="69" t="s">
        <v>500</v>
      </c>
      <c r="F161" s="8" t="s">
        <v>2592</v>
      </c>
      <c r="G161" s="8" t="s">
        <v>62</v>
      </c>
      <c r="H161" s="8" t="s">
        <v>493</v>
      </c>
      <c r="I161" s="8" t="s">
        <v>494</v>
      </c>
      <c r="J161" s="9" t="s">
        <v>1090</v>
      </c>
      <c r="K161" s="8"/>
      <c r="L161" s="283"/>
      <c r="M161" s="8"/>
      <c r="N161" s="8"/>
      <c r="O161" s="281"/>
      <c r="P161" s="8"/>
      <c r="Q161" s="132"/>
      <c r="R161" s="38"/>
      <c r="S161" s="8"/>
      <c r="T161" s="8"/>
      <c r="U161" s="8"/>
      <c r="V161" s="8"/>
      <c r="W161" s="8"/>
      <c r="X161" s="8"/>
      <c r="Y161" s="8"/>
      <c r="Z161" s="8"/>
      <c r="AA161" s="8"/>
    </row>
    <row r="162" spans="1:27" ht="94.5" hidden="1">
      <c r="A162" s="8" t="s">
        <v>16</v>
      </c>
      <c r="B162" s="29" t="s">
        <v>54</v>
      </c>
      <c r="C162" s="8" t="s">
        <v>486</v>
      </c>
      <c r="D162" s="8" t="s">
        <v>501</v>
      </c>
      <c r="E162" s="69" t="s">
        <v>502</v>
      </c>
      <c r="F162" s="8" t="s">
        <v>2592</v>
      </c>
      <c r="G162" s="8" t="s">
        <v>62</v>
      </c>
      <c r="H162" s="8" t="s">
        <v>493</v>
      </c>
      <c r="I162" s="8" t="s">
        <v>494</v>
      </c>
      <c r="J162" s="9" t="s">
        <v>1090</v>
      </c>
      <c r="K162" s="8"/>
      <c r="L162" s="283"/>
      <c r="M162" s="8"/>
      <c r="N162" s="8"/>
      <c r="O162" s="281"/>
      <c r="P162" s="8"/>
      <c r="Q162" s="132"/>
      <c r="R162" s="38"/>
      <c r="S162" s="8"/>
      <c r="T162" s="8"/>
      <c r="U162" s="8"/>
      <c r="V162" s="8"/>
      <c r="W162" s="8"/>
      <c r="X162" s="8"/>
      <c r="Y162" s="8"/>
      <c r="Z162" s="8"/>
      <c r="AA162" s="8"/>
    </row>
    <row r="163" spans="1:27" ht="94.5" hidden="1">
      <c r="A163" s="8" t="s">
        <v>16</v>
      </c>
      <c r="B163" s="29" t="s">
        <v>54</v>
      </c>
      <c r="C163" s="8" t="s">
        <v>486</v>
      </c>
      <c r="D163" s="8" t="s">
        <v>503</v>
      </c>
      <c r="E163" s="69" t="s">
        <v>504</v>
      </c>
      <c r="F163" s="8" t="s">
        <v>2592</v>
      </c>
      <c r="G163" s="8" t="s">
        <v>62</v>
      </c>
      <c r="H163" s="8" t="s">
        <v>493</v>
      </c>
      <c r="I163" s="8" t="s">
        <v>494</v>
      </c>
      <c r="J163" s="9" t="s">
        <v>1090</v>
      </c>
      <c r="K163" s="8"/>
      <c r="L163" s="283"/>
      <c r="M163" s="8"/>
      <c r="N163" s="8"/>
      <c r="O163" s="281"/>
      <c r="P163" s="8"/>
      <c r="Q163" s="132"/>
      <c r="R163" s="38"/>
      <c r="S163" s="8"/>
      <c r="T163" s="8"/>
      <c r="U163" s="8"/>
      <c r="V163" s="8"/>
      <c r="W163" s="8"/>
      <c r="X163" s="8"/>
      <c r="Y163" s="8"/>
      <c r="Z163" s="8"/>
      <c r="AA163" s="8"/>
    </row>
    <row r="164" spans="1:27" ht="94.5" hidden="1">
      <c r="A164" s="8" t="s">
        <v>16</v>
      </c>
      <c r="B164" s="29" t="s">
        <v>54</v>
      </c>
      <c r="C164" s="8" t="s">
        <v>486</v>
      </c>
      <c r="D164" s="8" t="s">
        <v>505</v>
      </c>
      <c r="E164" s="69" t="s">
        <v>506</v>
      </c>
      <c r="F164" s="8" t="s">
        <v>2590</v>
      </c>
      <c r="G164" s="8" t="s">
        <v>62</v>
      </c>
      <c r="H164" s="8" t="s">
        <v>493</v>
      </c>
      <c r="I164" s="8" t="s">
        <v>494</v>
      </c>
      <c r="J164" s="8" t="s">
        <v>8</v>
      </c>
      <c r="K164" s="8"/>
      <c r="L164" s="283"/>
      <c r="M164" s="8" t="s">
        <v>10</v>
      </c>
      <c r="N164" s="8"/>
      <c r="O164" s="281"/>
      <c r="P164" s="8"/>
      <c r="Q164" s="132"/>
      <c r="R164" s="38"/>
      <c r="S164" s="8"/>
      <c r="T164" s="8"/>
      <c r="U164" s="8"/>
      <c r="V164" s="8"/>
      <c r="W164" s="8"/>
      <c r="X164" s="8"/>
      <c r="Y164" s="8"/>
      <c r="Z164" s="8"/>
      <c r="AA164" s="8"/>
    </row>
    <row r="165" spans="1:27" ht="94.5" hidden="1">
      <c r="A165" s="8" t="s">
        <v>16</v>
      </c>
      <c r="B165" s="29" t="s">
        <v>54</v>
      </c>
      <c r="C165" s="8" t="s">
        <v>486</v>
      </c>
      <c r="D165" s="8" t="s">
        <v>507</v>
      </c>
      <c r="E165" s="69" t="s">
        <v>508</v>
      </c>
      <c r="F165" s="8" t="s">
        <v>2590</v>
      </c>
      <c r="G165" s="8" t="s">
        <v>62</v>
      </c>
      <c r="H165" s="8" t="s">
        <v>493</v>
      </c>
      <c r="I165" s="8" t="s">
        <v>494</v>
      </c>
      <c r="J165" s="8" t="s">
        <v>8</v>
      </c>
      <c r="K165" s="8"/>
      <c r="L165" s="283"/>
      <c r="M165" s="8" t="s">
        <v>10</v>
      </c>
      <c r="N165" s="8"/>
      <c r="O165" s="281"/>
      <c r="P165" s="8"/>
      <c r="Q165" s="132"/>
      <c r="R165" s="38"/>
      <c r="S165" s="8"/>
      <c r="T165" s="8"/>
      <c r="U165" s="8"/>
      <c r="V165" s="8"/>
      <c r="W165" s="8"/>
      <c r="X165" s="8"/>
      <c r="Y165" s="8"/>
      <c r="Z165" s="8"/>
      <c r="AA165" s="8"/>
    </row>
    <row r="166" spans="1:27" ht="94.5" hidden="1">
      <c r="A166" s="8" t="s">
        <v>16</v>
      </c>
      <c r="B166" s="29" t="s">
        <v>54</v>
      </c>
      <c r="C166" s="8" t="s">
        <v>486</v>
      </c>
      <c r="D166" s="8" t="s">
        <v>509</v>
      </c>
      <c r="E166" s="69" t="s">
        <v>510</v>
      </c>
      <c r="F166" s="8" t="s">
        <v>2590</v>
      </c>
      <c r="G166" s="8" t="s">
        <v>62</v>
      </c>
      <c r="H166" s="8" t="s">
        <v>493</v>
      </c>
      <c r="I166" s="8" t="s">
        <v>494</v>
      </c>
      <c r="J166" s="8" t="s">
        <v>8</v>
      </c>
      <c r="K166" s="8"/>
      <c r="L166" s="283"/>
      <c r="M166" s="8" t="s">
        <v>10</v>
      </c>
      <c r="N166" s="8"/>
      <c r="O166" s="281"/>
      <c r="P166" s="8"/>
      <c r="Q166" s="132"/>
      <c r="R166" s="38"/>
      <c r="S166" s="8"/>
      <c r="T166" s="8"/>
      <c r="U166" s="8"/>
      <c r="V166" s="8"/>
      <c r="W166" s="8"/>
      <c r="X166" s="8"/>
      <c r="Y166" s="8"/>
      <c r="Z166" s="8"/>
      <c r="AA166" s="8"/>
    </row>
    <row r="167" spans="1:27" ht="94.5" hidden="1">
      <c r="A167" s="8" t="s">
        <v>16</v>
      </c>
      <c r="B167" s="29" t="s">
        <v>54</v>
      </c>
      <c r="C167" s="8" t="s">
        <v>486</v>
      </c>
      <c r="D167" s="8" t="s">
        <v>511</v>
      </c>
      <c r="E167" s="69" t="s">
        <v>512</v>
      </c>
      <c r="F167" s="8" t="s">
        <v>2590</v>
      </c>
      <c r="G167" s="8" t="s">
        <v>62</v>
      </c>
      <c r="H167" s="8" t="s">
        <v>493</v>
      </c>
      <c r="I167" s="8" t="s">
        <v>494</v>
      </c>
      <c r="J167" s="9" t="s">
        <v>1090</v>
      </c>
      <c r="K167" s="8"/>
      <c r="L167" s="283"/>
      <c r="M167" s="8"/>
      <c r="N167" s="8"/>
      <c r="O167" s="281"/>
      <c r="P167" s="8"/>
      <c r="Q167" s="132"/>
      <c r="R167" s="38"/>
      <c r="S167" s="8"/>
      <c r="T167" s="8"/>
      <c r="U167" s="8"/>
      <c r="V167" s="8"/>
      <c r="W167" s="8"/>
      <c r="X167" s="8"/>
      <c r="Y167" s="8"/>
      <c r="Z167" s="8"/>
      <c r="AA167" s="8"/>
    </row>
    <row r="168" spans="1:27" ht="94.5" hidden="1">
      <c r="A168" s="78" t="s">
        <v>16</v>
      </c>
      <c r="B168" s="79" t="s">
        <v>54</v>
      </c>
      <c r="C168" s="78" t="s">
        <v>486</v>
      </c>
      <c r="D168" s="78" t="s">
        <v>513</v>
      </c>
      <c r="E168" s="80" t="s">
        <v>514</v>
      </c>
      <c r="F168" s="8" t="s">
        <v>2590</v>
      </c>
      <c r="G168" s="78" t="s">
        <v>62</v>
      </c>
      <c r="H168" s="78" t="s">
        <v>493</v>
      </c>
      <c r="I168" s="78" t="s">
        <v>494</v>
      </c>
      <c r="J168" s="8" t="s">
        <v>8</v>
      </c>
      <c r="K168" s="8" t="s">
        <v>2621</v>
      </c>
      <c r="L168" s="283"/>
      <c r="M168" s="8" t="s">
        <v>10</v>
      </c>
      <c r="N168" s="78"/>
      <c r="O168" s="295"/>
      <c r="P168" s="78"/>
      <c r="Q168" s="13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8" t="s">
        <v>2590</v>
      </c>
      <c r="G169" s="135" t="s">
        <v>62</v>
      </c>
      <c r="H169" s="135" t="s">
        <v>493</v>
      </c>
      <c r="I169" s="135" t="s">
        <v>494</v>
      </c>
      <c r="J169" s="8" t="s">
        <v>8</v>
      </c>
      <c r="K169" s="8"/>
      <c r="L169" s="283"/>
      <c r="M169" s="8" t="s">
        <v>10</v>
      </c>
      <c r="N169" s="135"/>
      <c r="O169" s="302"/>
      <c r="P169" s="303"/>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8" t="s">
        <v>2590</v>
      </c>
      <c r="G170" s="76" t="s">
        <v>62</v>
      </c>
      <c r="H170" s="76" t="s">
        <v>519</v>
      </c>
      <c r="I170" s="134">
        <v>1</v>
      </c>
      <c r="J170" s="8" t="s">
        <v>8</v>
      </c>
      <c r="K170" s="76"/>
      <c r="L170" s="296"/>
      <c r="M170" s="76" t="s">
        <v>10</v>
      </c>
      <c r="N170" s="8"/>
      <c r="O170" s="304"/>
      <c r="P170" s="298"/>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 t="s">
        <v>2592</v>
      </c>
      <c r="G171" s="84" t="s">
        <v>62</v>
      </c>
      <c r="H171" s="84" t="s">
        <v>522</v>
      </c>
      <c r="I171" s="86">
        <v>1</v>
      </c>
      <c r="J171" s="9" t="s">
        <v>1090</v>
      </c>
      <c r="K171" s="84"/>
      <c r="L171" s="299"/>
      <c r="M171" s="84"/>
      <c r="N171" s="84"/>
      <c r="O171" s="300"/>
      <c r="P171" s="84"/>
      <c r="Q171" s="132"/>
      <c r="R171" s="38"/>
      <c r="S171" s="8"/>
      <c r="T171" s="8"/>
      <c r="U171" s="8"/>
      <c r="V171" s="8"/>
      <c r="W171" s="8"/>
      <c r="X171" s="8"/>
      <c r="Y171" s="8"/>
      <c r="Z171" s="8"/>
      <c r="AA171" s="8"/>
    </row>
    <row r="172" spans="1:27" ht="94.5" hidden="1">
      <c r="A172" s="8" t="s">
        <v>16</v>
      </c>
      <c r="B172" s="29" t="s">
        <v>54</v>
      </c>
      <c r="C172" s="8" t="s">
        <v>486</v>
      </c>
      <c r="D172" s="8" t="s">
        <v>523</v>
      </c>
      <c r="E172" s="8" t="s">
        <v>524</v>
      </c>
      <c r="F172" s="8" t="s">
        <v>2590</v>
      </c>
      <c r="G172" s="8" t="s">
        <v>62</v>
      </c>
      <c r="H172" s="8" t="s">
        <v>525</v>
      </c>
      <c r="I172" s="8" t="s">
        <v>526</v>
      </c>
      <c r="J172" s="8" t="s">
        <v>8</v>
      </c>
      <c r="K172" s="8"/>
      <c r="L172" s="283"/>
      <c r="M172" s="8" t="s">
        <v>12</v>
      </c>
      <c r="N172" s="8" t="s">
        <v>2598</v>
      </c>
      <c r="O172" s="281"/>
      <c r="P172" s="8"/>
      <c r="Q172" s="132"/>
      <c r="R172" s="38"/>
      <c r="S172" s="8"/>
      <c r="T172" s="8"/>
      <c r="U172" s="8"/>
      <c r="V172" s="8"/>
      <c r="W172" s="8"/>
      <c r="X172" s="8"/>
      <c r="Y172" s="8"/>
      <c r="Z172" s="8"/>
      <c r="AA172" s="8"/>
    </row>
    <row r="173" spans="1:27" ht="47.25" hidden="1">
      <c r="A173" s="8" t="s">
        <v>16</v>
      </c>
      <c r="B173" s="29" t="s">
        <v>54</v>
      </c>
      <c r="C173" s="8" t="s">
        <v>527</v>
      </c>
      <c r="D173" s="8" t="s">
        <v>528</v>
      </c>
      <c r="E173" s="8" t="s">
        <v>529</v>
      </c>
      <c r="F173" s="8" t="s">
        <v>2592</v>
      </c>
      <c r="G173" s="8" t="s">
        <v>62</v>
      </c>
      <c r="H173" s="8" t="s">
        <v>530</v>
      </c>
      <c r="I173" s="8" t="s">
        <v>135</v>
      </c>
      <c r="J173" s="8" t="s">
        <v>8</v>
      </c>
      <c r="K173" s="8"/>
      <c r="L173" s="283"/>
      <c r="M173" s="8" t="s">
        <v>9</v>
      </c>
      <c r="N173" s="8" t="s">
        <v>2595</v>
      </c>
      <c r="O173" s="281"/>
      <c r="P173" s="8"/>
      <c r="Q173" s="132"/>
      <c r="R173" s="38"/>
      <c r="S173" s="8"/>
      <c r="T173" s="8"/>
      <c r="U173" s="8"/>
      <c r="V173" s="8"/>
      <c r="W173" s="8"/>
      <c r="X173" s="8"/>
      <c r="Y173" s="8"/>
      <c r="Z173" s="8"/>
      <c r="AA173" s="8"/>
    </row>
    <row r="174" spans="1:27" ht="78.75" hidden="1">
      <c r="A174" s="8" t="s">
        <v>16</v>
      </c>
      <c r="B174" s="29" t="s">
        <v>195</v>
      </c>
      <c r="C174" s="8" t="s">
        <v>531</v>
      </c>
      <c r="D174" s="8" t="s">
        <v>532</v>
      </c>
      <c r="E174" s="8" t="s">
        <v>533</v>
      </c>
      <c r="F174" s="8" t="s">
        <v>2590</v>
      </c>
      <c r="G174" s="8" t="s">
        <v>62</v>
      </c>
      <c r="H174" s="8" t="s">
        <v>534</v>
      </c>
      <c r="I174" s="9">
        <v>1</v>
      </c>
      <c r="J174" s="8" t="s">
        <v>8</v>
      </c>
      <c r="K174" s="8"/>
      <c r="L174" s="283"/>
      <c r="M174" s="8" t="s">
        <v>10</v>
      </c>
      <c r="N174" s="8" t="s">
        <v>2622</v>
      </c>
      <c r="O174" s="281"/>
      <c r="P174" s="8"/>
      <c r="Q174" s="132"/>
      <c r="R174" s="38"/>
      <c r="S174" s="8"/>
      <c r="T174" s="8"/>
      <c r="U174" s="8"/>
      <c r="V174" s="8"/>
      <c r="W174" s="8"/>
      <c r="X174" s="8"/>
      <c r="Y174" s="8"/>
      <c r="Z174" s="8"/>
      <c r="AA174" s="8"/>
    </row>
    <row r="175" spans="1:27" ht="94.5" hidden="1">
      <c r="A175" s="8" t="s">
        <v>16</v>
      </c>
      <c r="B175" s="29" t="s">
        <v>195</v>
      </c>
      <c r="C175" s="8" t="s">
        <v>531</v>
      </c>
      <c r="D175" s="8" t="s">
        <v>535</v>
      </c>
      <c r="E175" s="8" t="s">
        <v>536</v>
      </c>
      <c r="F175" s="8" t="s">
        <v>2592</v>
      </c>
      <c r="G175" s="8" t="s">
        <v>62</v>
      </c>
      <c r="H175" s="8" t="s">
        <v>537</v>
      </c>
      <c r="I175" s="8" t="s">
        <v>538</v>
      </c>
      <c r="J175" s="8" t="s">
        <v>8</v>
      </c>
      <c r="K175" s="8"/>
      <c r="L175" s="283"/>
      <c r="M175" s="8" t="s">
        <v>12</v>
      </c>
      <c r="N175" s="8"/>
      <c r="O175" s="281"/>
      <c r="P175" s="8"/>
      <c r="Q175" s="132"/>
      <c r="R175" s="38"/>
      <c r="S175" s="8"/>
      <c r="T175" s="8"/>
      <c r="U175" s="8"/>
      <c r="V175" s="8"/>
      <c r="W175" s="8"/>
      <c r="X175" s="8"/>
      <c r="Y175" s="8"/>
      <c r="Z175" s="8"/>
      <c r="AA175" s="8"/>
    </row>
    <row r="176" spans="1:27" ht="78.75" hidden="1">
      <c r="A176" s="8" t="s">
        <v>16</v>
      </c>
      <c r="B176" s="29" t="s">
        <v>195</v>
      </c>
      <c r="C176" s="8" t="s">
        <v>539</v>
      </c>
      <c r="D176" s="8" t="s">
        <v>540</v>
      </c>
      <c r="E176" s="8" t="s">
        <v>541</v>
      </c>
      <c r="F176" s="8" t="s">
        <v>2592</v>
      </c>
      <c r="G176" s="8" t="s">
        <v>62</v>
      </c>
      <c r="H176" s="8" t="s">
        <v>542</v>
      </c>
      <c r="I176" s="9">
        <v>1</v>
      </c>
      <c r="J176" s="8" t="s">
        <v>1090</v>
      </c>
      <c r="K176" s="8"/>
      <c r="L176" s="283"/>
      <c r="M176" s="8"/>
      <c r="N176" s="8"/>
      <c r="O176" s="281"/>
      <c r="P176" s="8"/>
      <c r="Q176" s="132"/>
      <c r="R176" s="38"/>
      <c r="S176" s="8"/>
      <c r="T176" s="8"/>
      <c r="U176" s="8"/>
      <c r="V176" s="8"/>
      <c r="W176" s="8"/>
      <c r="X176" s="8"/>
      <c r="Y176" s="8"/>
      <c r="Z176" s="8"/>
      <c r="AA176" s="8"/>
    </row>
    <row r="177" spans="1:51" ht="94.5" hidden="1">
      <c r="A177" s="8" t="s">
        <v>16</v>
      </c>
      <c r="B177" s="29" t="s">
        <v>195</v>
      </c>
      <c r="C177" s="8" t="s">
        <v>543</v>
      </c>
      <c r="D177" s="8" t="s">
        <v>544</v>
      </c>
      <c r="E177" s="8" t="s">
        <v>253</v>
      </c>
      <c r="F177" s="20"/>
      <c r="G177" s="20" t="s">
        <v>62</v>
      </c>
      <c r="H177" s="20" t="s">
        <v>254</v>
      </c>
      <c r="I177" s="22"/>
      <c r="J177" s="20"/>
      <c r="K177" s="20"/>
      <c r="L177" s="278"/>
      <c r="M177" s="20"/>
      <c r="N177" s="20"/>
      <c r="O177" s="279"/>
      <c r="P177" s="20"/>
      <c r="Q177" s="132"/>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t="s">
        <v>2590</v>
      </c>
      <c r="G178" s="8" t="s">
        <v>62</v>
      </c>
      <c r="H178" s="8" t="s">
        <v>254</v>
      </c>
      <c r="I178" s="9">
        <v>1</v>
      </c>
      <c r="J178" s="8" t="s">
        <v>1191</v>
      </c>
      <c r="K178" s="8" t="s">
        <v>2623</v>
      </c>
      <c r="L178" s="283" t="s">
        <v>2624</v>
      </c>
      <c r="M178" s="8" t="s">
        <v>10</v>
      </c>
      <c r="N178" s="8" t="s">
        <v>2625</v>
      </c>
      <c r="O178" s="281"/>
      <c r="P178" s="8"/>
      <c r="Q178" s="132"/>
      <c r="R178" s="38"/>
      <c r="S178" s="8"/>
      <c r="T178" s="8"/>
      <c r="U178" s="8"/>
      <c r="V178" s="8"/>
      <c r="W178" s="8"/>
      <c r="X178" s="8"/>
      <c r="Y178" s="8"/>
      <c r="Z178" s="8"/>
      <c r="AA178" s="8"/>
    </row>
    <row r="179" spans="1:51" ht="47.25" hidden="1">
      <c r="A179" s="8" t="s">
        <v>16</v>
      </c>
      <c r="B179" s="29" t="s">
        <v>195</v>
      </c>
      <c r="C179" s="8" t="s">
        <v>543</v>
      </c>
      <c r="D179" s="8" t="s">
        <v>547</v>
      </c>
      <c r="E179" s="69" t="s">
        <v>548</v>
      </c>
      <c r="F179" s="8" t="s">
        <v>2590</v>
      </c>
      <c r="G179" s="8" t="s">
        <v>58</v>
      </c>
      <c r="H179" s="8" t="s">
        <v>549</v>
      </c>
      <c r="I179" s="8" t="s">
        <v>210</v>
      </c>
      <c r="J179" s="8" t="s">
        <v>1191</v>
      </c>
      <c r="K179" s="8" t="s">
        <v>2623</v>
      </c>
      <c r="L179" s="283" t="s">
        <v>2624</v>
      </c>
      <c r="M179" s="8" t="s">
        <v>10</v>
      </c>
      <c r="N179" s="8" t="s">
        <v>2625</v>
      </c>
      <c r="O179" s="281"/>
      <c r="P179" s="8"/>
      <c r="Q179" s="132"/>
      <c r="R179" s="38"/>
      <c r="S179" s="8"/>
      <c r="T179" s="8"/>
      <c r="U179" s="8"/>
      <c r="V179" s="8"/>
      <c r="W179" s="8"/>
      <c r="X179" s="8"/>
      <c r="Y179" s="8"/>
      <c r="Z179" s="8"/>
      <c r="AA179" s="8"/>
    </row>
    <row r="180" spans="1:51" ht="110.25" hidden="1">
      <c r="A180" s="8" t="s">
        <v>16</v>
      </c>
      <c r="B180" s="29" t="s">
        <v>195</v>
      </c>
      <c r="C180" s="8" t="s">
        <v>543</v>
      </c>
      <c r="D180" s="8" t="s">
        <v>550</v>
      </c>
      <c r="E180" s="69" t="s">
        <v>551</v>
      </c>
      <c r="F180" s="8" t="s">
        <v>2590</v>
      </c>
      <c r="G180" s="8" t="s">
        <v>58</v>
      </c>
      <c r="H180" s="8" t="s">
        <v>552</v>
      </c>
      <c r="I180" s="8" t="s">
        <v>210</v>
      </c>
      <c r="J180" s="8" t="s">
        <v>1191</v>
      </c>
      <c r="K180" s="8" t="s">
        <v>2623</v>
      </c>
      <c r="L180" s="283" t="s">
        <v>2624</v>
      </c>
      <c r="M180" s="8" t="s">
        <v>10</v>
      </c>
      <c r="N180" s="8" t="s">
        <v>2625</v>
      </c>
      <c r="O180" s="281"/>
      <c r="P180" s="8"/>
      <c r="Q180" s="132"/>
      <c r="R180" s="38"/>
      <c r="S180" s="8"/>
      <c r="T180" s="8"/>
      <c r="U180" s="8"/>
      <c r="V180" s="8"/>
      <c r="W180" s="8"/>
      <c r="X180" s="8"/>
      <c r="Y180" s="8"/>
      <c r="Z180" s="8"/>
      <c r="AA180" s="8"/>
    </row>
    <row r="181" spans="1:51" ht="110.25" hidden="1">
      <c r="A181" s="8" t="s">
        <v>16</v>
      </c>
      <c r="B181" s="29" t="s">
        <v>195</v>
      </c>
      <c r="C181" s="8" t="s">
        <v>543</v>
      </c>
      <c r="D181" s="8" t="s">
        <v>553</v>
      </c>
      <c r="E181" s="8" t="s">
        <v>554</v>
      </c>
      <c r="F181" s="8" t="s">
        <v>2590</v>
      </c>
      <c r="G181" s="8" t="s">
        <v>62</v>
      </c>
      <c r="H181" s="8" t="s">
        <v>555</v>
      </c>
      <c r="I181" s="9">
        <v>1</v>
      </c>
      <c r="J181" s="8" t="s">
        <v>1191</v>
      </c>
      <c r="K181" s="8"/>
      <c r="L181" s="283"/>
      <c r="M181" s="8" t="s">
        <v>10</v>
      </c>
      <c r="N181" s="8"/>
      <c r="O181" s="281"/>
      <c r="P181" s="8"/>
      <c r="Q181" s="132"/>
      <c r="R181" s="38"/>
      <c r="S181" s="8"/>
      <c r="T181" s="8"/>
      <c r="U181" s="8"/>
      <c r="V181" s="8"/>
      <c r="W181" s="8"/>
      <c r="X181" s="8"/>
      <c r="Y181" s="8"/>
      <c r="Z181" s="8"/>
      <c r="AA181" s="8"/>
    </row>
    <row r="182" spans="1:51" ht="94.5" hidden="1">
      <c r="A182" s="8" t="s">
        <v>16</v>
      </c>
      <c r="B182" s="29" t="s">
        <v>195</v>
      </c>
      <c r="C182" s="8" t="s">
        <v>556</v>
      </c>
      <c r="D182" s="8" t="s">
        <v>557</v>
      </c>
      <c r="E182" s="8" t="s">
        <v>558</v>
      </c>
      <c r="F182" s="8" t="s">
        <v>2592</v>
      </c>
      <c r="G182" s="8" t="s">
        <v>62</v>
      </c>
      <c r="H182" s="8" t="s">
        <v>559</v>
      </c>
      <c r="I182" s="8" t="s">
        <v>485</v>
      </c>
      <c r="J182" s="8" t="s">
        <v>1090</v>
      </c>
      <c r="K182" s="8"/>
      <c r="L182" s="283"/>
      <c r="M182" s="8"/>
      <c r="N182" s="8"/>
      <c r="O182" s="281"/>
      <c r="P182" s="8"/>
      <c r="Q182" s="132"/>
      <c r="R182" s="38"/>
      <c r="S182" s="8"/>
      <c r="T182" s="8"/>
      <c r="U182" s="8"/>
      <c r="V182" s="8"/>
      <c r="W182" s="8"/>
      <c r="X182" s="8"/>
      <c r="Y182" s="8"/>
      <c r="Z182" s="8"/>
      <c r="AA182" s="8"/>
    </row>
    <row r="183" spans="1:51" ht="47.25" hidden="1">
      <c r="A183" s="8" t="s">
        <v>16</v>
      </c>
      <c r="B183" s="29" t="s">
        <v>195</v>
      </c>
      <c r="C183" s="8" t="s">
        <v>556</v>
      </c>
      <c r="D183" s="8" t="s">
        <v>560</v>
      </c>
      <c r="E183" s="8" t="s">
        <v>561</v>
      </c>
      <c r="F183" s="8" t="s">
        <v>2592</v>
      </c>
      <c r="G183" s="8" t="s">
        <v>62</v>
      </c>
      <c r="H183" s="8" t="s">
        <v>259</v>
      </c>
      <c r="I183" s="8" t="s">
        <v>210</v>
      </c>
      <c r="J183" s="8" t="s">
        <v>1090</v>
      </c>
      <c r="K183" s="8"/>
      <c r="L183" s="283"/>
      <c r="M183" s="8"/>
      <c r="N183" s="8"/>
      <c r="O183" s="281"/>
      <c r="P183" s="8"/>
      <c r="Q183" s="132"/>
      <c r="R183" s="38"/>
      <c r="S183" s="8"/>
      <c r="T183" s="8"/>
      <c r="U183" s="8"/>
      <c r="V183" s="8"/>
      <c r="W183" s="8"/>
      <c r="X183" s="8"/>
      <c r="Y183" s="8"/>
      <c r="Z183" s="8"/>
      <c r="AA183" s="8"/>
    </row>
    <row r="184" spans="1:51" ht="94.5" hidden="1">
      <c r="A184" s="8" t="s">
        <v>16</v>
      </c>
      <c r="B184" s="29" t="s">
        <v>274</v>
      </c>
      <c r="C184" s="8" t="s">
        <v>562</v>
      </c>
      <c r="D184" s="8" t="s">
        <v>563</v>
      </c>
      <c r="E184" s="8" t="s">
        <v>564</v>
      </c>
      <c r="F184" s="20"/>
      <c r="G184" s="20" t="s">
        <v>62</v>
      </c>
      <c r="H184" s="20"/>
      <c r="I184" s="22"/>
      <c r="J184" s="20"/>
      <c r="K184" s="20"/>
      <c r="L184" s="278"/>
      <c r="M184" s="20"/>
      <c r="N184" s="20"/>
      <c r="O184" s="279"/>
      <c r="P184" s="20"/>
      <c r="Q184" s="132"/>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t="s">
        <v>2592</v>
      </c>
      <c r="G185" s="8" t="s">
        <v>62</v>
      </c>
      <c r="H185" s="8" t="s">
        <v>567</v>
      </c>
      <c r="I185" s="9">
        <v>1</v>
      </c>
      <c r="J185" s="8" t="s">
        <v>8</v>
      </c>
      <c r="K185" s="8"/>
      <c r="L185" s="283"/>
      <c r="M185" s="8" t="s">
        <v>12</v>
      </c>
      <c r="N185" s="8"/>
      <c r="O185" s="281"/>
      <c r="P185" s="8"/>
      <c r="Q185" s="132"/>
      <c r="R185" s="38"/>
      <c r="S185" s="8"/>
      <c r="T185" s="8"/>
      <c r="U185" s="8"/>
      <c r="V185" s="8"/>
      <c r="W185" s="8"/>
      <c r="X185" s="8"/>
      <c r="Y185" s="8"/>
      <c r="Z185" s="8"/>
      <c r="AA185" s="8"/>
    </row>
    <row r="186" spans="1:51" ht="78.75" hidden="1">
      <c r="A186" s="8" t="s">
        <v>16</v>
      </c>
      <c r="B186" s="29" t="s">
        <v>274</v>
      </c>
      <c r="C186" s="8" t="s">
        <v>562</v>
      </c>
      <c r="D186" s="8" t="s">
        <v>568</v>
      </c>
      <c r="E186" s="69" t="s">
        <v>569</v>
      </c>
      <c r="F186" s="8" t="s">
        <v>2592</v>
      </c>
      <c r="G186" s="8" t="s">
        <v>62</v>
      </c>
      <c r="H186" s="8" t="s">
        <v>570</v>
      </c>
      <c r="I186" s="9">
        <v>1</v>
      </c>
      <c r="J186" s="8" t="s">
        <v>8</v>
      </c>
      <c r="K186" s="8"/>
      <c r="L186" s="283"/>
      <c r="M186" s="8" t="s">
        <v>12</v>
      </c>
      <c r="N186" s="8"/>
      <c r="O186" s="281"/>
      <c r="P186" s="8"/>
      <c r="Q186" s="132"/>
      <c r="R186" s="38"/>
      <c r="S186" s="8"/>
      <c r="T186" s="8"/>
      <c r="U186" s="8"/>
      <c r="V186" s="8"/>
      <c r="W186" s="8"/>
      <c r="X186" s="8"/>
      <c r="Y186" s="8"/>
      <c r="Z186" s="8"/>
      <c r="AA186" s="8"/>
    </row>
    <row r="187" spans="1:51" ht="78.75" hidden="1">
      <c r="A187" s="8" t="s">
        <v>16</v>
      </c>
      <c r="B187" s="29" t="s">
        <v>274</v>
      </c>
      <c r="C187" s="8" t="s">
        <v>571</v>
      </c>
      <c r="D187" s="8" t="s">
        <v>572</v>
      </c>
      <c r="E187" s="8" t="s">
        <v>573</v>
      </c>
      <c r="F187" s="8" t="s">
        <v>2592</v>
      </c>
      <c r="G187" s="8" t="s">
        <v>62</v>
      </c>
      <c r="H187" s="8" t="s">
        <v>574</v>
      </c>
      <c r="I187" s="9">
        <v>1</v>
      </c>
      <c r="J187" s="8" t="s">
        <v>8</v>
      </c>
      <c r="K187" s="8"/>
      <c r="L187" s="283"/>
      <c r="M187" s="8" t="s">
        <v>9</v>
      </c>
      <c r="N187" s="8" t="s">
        <v>2626</v>
      </c>
      <c r="O187" s="281"/>
      <c r="P187" s="8"/>
      <c r="Q187" s="132"/>
      <c r="R187" s="38"/>
      <c r="S187" s="8"/>
      <c r="T187" s="8"/>
      <c r="U187" s="8"/>
      <c r="V187" s="8"/>
      <c r="W187" s="8"/>
      <c r="X187" s="8"/>
      <c r="Y187" s="8"/>
      <c r="Z187" s="8"/>
      <c r="AA187" s="8"/>
    </row>
    <row r="188" spans="1:51" ht="78.75" hidden="1">
      <c r="A188" s="8" t="s">
        <v>16</v>
      </c>
      <c r="B188" s="29" t="s">
        <v>274</v>
      </c>
      <c r="C188" s="8" t="s">
        <v>571</v>
      </c>
      <c r="D188" s="8" t="s">
        <v>575</v>
      </c>
      <c r="E188" s="8" t="s">
        <v>576</v>
      </c>
      <c r="F188" s="8" t="s">
        <v>2592</v>
      </c>
      <c r="G188" s="8" t="s">
        <v>62</v>
      </c>
      <c r="H188" s="8" t="s">
        <v>577</v>
      </c>
      <c r="I188" s="9">
        <v>1</v>
      </c>
      <c r="J188" s="8" t="s">
        <v>1090</v>
      </c>
      <c r="K188" s="8"/>
      <c r="L188" s="283"/>
      <c r="M188" s="8"/>
      <c r="N188" s="8"/>
      <c r="O188" s="281"/>
      <c r="P188" s="8"/>
      <c r="Q188" s="132"/>
      <c r="R188" s="38"/>
      <c r="S188" s="8"/>
      <c r="T188" s="8"/>
      <c r="U188" s="8"/>
      <c r="V188" s="8"/>
      <c r="W188" s="8"/>
      <c r="X188" s="8"/>
      <c r="Y188" s="8"/>
      <c r="Z188" s="8"/>
      <c r="AA188" s="8"/>
    </row>
    <row r="189" spans="1:51" ht="78.75" hidden="1">
      <c r="A189" s="8" t="s">
        <v>16</v>
      </c>
      <c r="B189" s="29" t="s">
        <v>274</v>
      </c>
      <c r="C189" s="8" t="s">
        <v>571</v>
      </c>
      <c r="D189" s="8" t="s">
        <v>578</v>
      </c>
      <c r="E189" s="8" t="s">
        <v>579</v>
      </c>
      <c r="F189" s="8" t="s">
        <v>2592</v>
      </c>
      <c r="G189" s="8" t="s">
        <v>62</v>
      </c>
      <c r="H189" s="8" t="s">
        <v>580</v>
      </c>
      <c r="I189" s="9">
        <v>1</v>
      </c>
      <c r="J189" s="8" t="s">
        <v>1191</v>
      </c>
      <c r="K189" s="8" t="s">
        <v>2627</v>
      </c>
      <c r="L189" s="283"/>
      <c r="M189" s="8" t="s">
        <v>12</v>
      </c>
      <c r="N189" s="8"/>
      <c r="O189" s="281"/>
      <c r="P189" s="8"/>
      <c r="Q189" s="132"/>
      <c r="R189" s="38"/>
      <c r="S189" s="8"/>
      <c r="T189" s="8"/>
      <c r="U189" s="8"/>
      <c r="V189" s="8"/>
      <c r="W189" s="8"/>
      <c r="X189" s="8"/>
      <c r="Y189" s="8"/>
      <c r="Z189" s="8"/>
      <c r="AA189" s="8"/>
    </row>
    <row r="190" spans="1:51" s="5" customFormat="1" ht="47.25" hidden="1">
      <c r="A190" s="20" t="s">
        <v>16</v>
      </c>
      <c r="B190" s="30" t="s">
        <v>274</v>
      </c>
      <c r="C190" s="19" t="s">
        <v>581</v>
      </c>
      <c r="D190" s="19" t="s">
        <v>582</v>
      </c>
      <c r="E190" s="19" t="s">
        <v>582</v>
      </c>
      <c r="F190" s="19" t="s">
        <v>582</v>
      </c>
      <c r="G190" s="19" t="s">
        <v>582</v>
      </c>
      <c r="H190" s="19" t="s">
        <v>582</v>
      </c>
      <c r="I190" s="19" t="s">
        <v>582</v>
      </c>
      <c r="J190" s="19" t="s">
        <v>582</v>
      </c>
      <c r="K190" s="19" t="s">
        <v>582</v>
      </c>
      <c r="L190" s="19" t="s">
        <v>582</v>
      </c>
      <c r="M190" s="19" t="s">
        <v>582</v>
      </c>
      <c r="N190" s="19" t="s">
        <v>582</v>
      </c>
      <c r="O190" s="19" t="s">
        <v>582</v>
      </c>
      <c r="P190" s="19" t="s">
        <v>582</v>
      </c>
      <c r="Q190" s="48"/>
      <c r="R190" s="44" t="s">
        <v>582</v>
      </c>
      <c r="S190" s="19" t="s">
        <v>582</v>
      </c>
      <c r="T190" s="19" t="s">
        <v>582</v>
      </c>
      <c r="U190" s="19"/>
      <c r="V190" s="19" t="s">
        <v>582</v>
      </c>
      <c r="W190" s="19" t="s">
        <v>582</v>
      </c>
      <c r="X190" s="19" t="s">
        <v>582</v>
      </c>
      <c r="Y190" s="19" t="s">
        <v>582</v>
      </c>
      <c r="Z190" s="19" t="s">
        <v>582</v>
      </c>
      <c r="AA190" s="19" t="s">
        <v>582</v>
      </c>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t="s">
        <v>2592</v>
      </c>
      <c r="G191" s="8" t="s">
        <v>62</v>
      </c>
      <c r="H191" s="8" t="s">
        <v>586</v>
      </c>
      <c r="I191" s="9">
        <v>1</v>
      </c>
      <c r="J191" s="8" t="s">
        <v>1090</v>
      </c>
      <c r="K191" s="8"/>
      <c r="L191" s="283"/>
      <c r="M191" s="8"/>
      <c r="N191" s="8"/>
      <c r="O191" s="281"/>
      <c r="P191" s="8"/>
      <c r="Q191" s="132"/>
      <c r="R191" s="38"/>
      <c r="S191" s="8"/>
      <c r="T191" s="8"/>
      <c r="U191" s="8"/>
      <c r="V191" s="8"/>
      <c r="W191" s="8"/>
      <c r="X191" s="8"/>
      <c r="Y191" s="8"/>
      <c r="Z191" s="8"/>
      <c r="AA191" s="8"/>
    </row>
    <row r="192" spans="1:51" ht="63" hidden="1">
      <c r="A192" s="8" t="s">
        <v>16</v>
      </c>
      <c r="B192" s="29" t="s">
        <v>587</v>
      </c>
      <c r="C192" s="8" t="s">
        <v>588</v>
      </c>
      <c r="D192" s="8" t="s">
        <v>589</v>
      </c>
      <c r="E192" s="8" t="s">
        <v>590</v>
      </c>
      <c r="F192" s="8" t="s">
        <v>2592</v>
      </c>
      <c r="G192" s="8" t="s">
        <v>62</v>
      </c>
      <c r="H192" s="8" t="s">
        <v>591</v>
      </c>
      <c r="I192" s="9">
        <v>1</v>
      </c>
      <c r="J192" s="8" t="s">
        <v>1090</v>
      </c>
      <c r="K192" s="8"/>
      <c r="L192" s="283"/>
      <c r="M192" s="8"/>
      <c r="N192" s="8"/>
      <c r="O192" s="281"/>
      <c r="P192" s="8"/>
      <c r="Q192" s="132"/>
      <c r="R192" s="38"/>
      <c r="S192" s="8"/>
      <c r="T192" s="8"/>
      <c r="U192" s="8"/>
      <c r="V192" s="8"/>
      <c r="W192" s="8"/>
      <c r="X192" s="8"/>
      <c r="Y192" s="8"/>
      <c r="Z192" s="8"/>
      <c r="AA192" s="8"/>
    </row>
    <row r="193" spans="1:27" ht="56.25" hidden="1">
      <c r="A193" s="8" t="s">
        <v>16</v>
      </c>
      <c r="B193" s="29" t="s">
        <v>587</v>
      </c>
      <c r="C193" s="8" t="s">
        <v>588</v>
      </c>
      <c r="D193" s="8" t="s">
        <v>592</v>
      </c>
      <c r="E193" s="8" t="s">
        <v>351</v>
      </c>
      <c r="F193" s="20"/>
      <c r="G193" s="20" t="s">
        <v>62</v>
      </c>
      <c r="H193" s="20" t="s">
        <v>352</v>
      </c>
      <c r="I193" s="22">
        <v>1</v>
      </c>
      <c r="J193" s="20"/>
      <c r="K193" s="20"/>
      <c r="L193" s="278"/>
      <c r="M193" s="20"/>
      <c r="N193" s="20"/>
      <c r="O193" s="279"/>
      <c r="P193" s="20"/>
      <c r="Q193" s="132"/>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t="s">
        <v>2592</v>
      </c>
      <c r="G194" s="8" t="s">
        <v>62</v>
      </c>
      <c r="H194" s="8" t="s">
        <v>352</v>
      </c>
      <c r="I194" s="9">
        <v>1</v>
      </c>
      <c r="J194" s="8" t="s">
        <v>1191</v>
      </c>
      <c r="K194" s="8"/>
      <c r="L194" s="283"/>
      <c r="M194" s="8" t="s">
        <v>11</v>
      </c>
      <c r="N194" s="8"/>
      <c r="O194" s="281"/>
      <c r="P194" s="8"/>
      <c r="Q194" s="132"/>
      <c r="R194" s="38"/>
      <c r="S194" s="8"/>
      <c r="T194" s="8"/>
      <c r="U194" s="8"/>
      <c r="V194" s="8"/>
      <c r="W194" s="8"/>
      <c r="X194" s="8"/>
      <c r="Y194" s="8"/>
      <c r="Z194" s="8"/>
      <c r="AA194" s="8"/>
    </row>
    <row r="195" spans="1:27" ht="56.25" hidden="1">
      <c r="A195" s="8" t="s">
        <v>16</v>
      </c>
      <c r="B195" s="29" t="s">
        <v>587</v>
      </c>
      <c r="C195" s="8" t="s">
        <v>588</v>
      </c>
      <c r="D195" s="8" t="s">
        <v>593</v>
      </c>
      <c r="E195" s="69" t="s">
        <v>595</v>
      </c>
      <c r="F195" s="8" t="s">
        <v>2592</v>
      </c>
      <c r="G195" s="8" t="s">
        <v>62</v>
      </c>
      <c r="H195" s="8" t="s">
        <v>352</v>
      </c>
      <c r="I195" s="9">
        <v>1</v>
      </c>
      <c r="J195" s="8" t="s">
        <v>1191</v>
      </c>
      <c r="K195" s="8"/>
      <c r="L195" s="283"/>
      <c r="M195" s="8" t="s">
        <v>11</v>
      </c>
      <c r="N195" s="8"/>
      <c r="O195" s="281"/>
      <c r="P195" s="8"/>
      <c r="Q195" s="132"/>
      <c r="R195" s="38"/>
      <c r="S195" s="8"/>
      <c r="T195" s="8"/>
      <c r="U195" s="8"/>
      <c r="V195" s="8"/>
      <c r="W195" s="8"/>
      <c r="X195" s="8"/>
      <c r="Y195" s="8"/>
      <c r="Z195" s="8"/>
      <c r="AA195" s="8"/>
    </row>
    <row r="196" spans="1:27" ht="56.25" hidden="1">
      <c r="A196" s="8" t="s">
        <v>16</v>
      </c>
      <c r="B196" s="29" t="s">
        <v>587</v>
      </c>
      <c r="C196" s="8" t="s">
        <v>588</v>
      </c>
      <c r="D196" s="8" t="s">
        <v>593</v>
      </c>
      <c r="E196" s="69" t="s">
        <v>596</v>
      </c>
      <c r="F196" s="8" t="s">
        <v>2592</v>
      </c>
      <c r="G196" s="8" t="s">
        <v>62</v>
      </c>
      <c r="H196" s="8" t="s">
        <v>352</v>
      </c>
      <c r="I196" s="9">
        <v>1</v>
      </c>
      <c r="J196" s="8" t="s">
        <v>1191</v>
      </c>
      <c r="K196" s="8"/>
      <c r="L196" s="283"/>
      <c r="M196" s="8" t="s">
        <v>11</v>
      </c>
      <c r="N196" s="8"/>
      <c r="O196" s="281"/>
      <c r="P196" s="8"/>
      <c r="Q196" s="132"/>
      <c r="R196" s="38"/>
      <c r="S196" s="8"/>
      <c r="T196" s="8"/>
      <c r="U196" s="8"/>
      <c r="V196" s="8"/>
      <c r="W196" s="8"/>
      <c r="X196" s="8"/>
      <c r="Y196" s="8"/>
      <c r="Z196" s="8"/>
      <c r="AA196" s="8"/>
    </row>
    <row r="197" spans="1:27" ht="56.25" hidden="1">
      <c r="A197" s="8" t="s">
        <v>16</v>
      </c>
      <c r="B197" s="29" t="s">
        <v>587</v>
      </c>
      <c r="C197" s="8" t="s">
        <v>588</v>
      </c>
      <c r="D197" s="8" t="s">
        <v>593</v>
      </c>
      <c r="E197" s="69" t="s">
        <v>597</v>
      </c>
      <c r="F197" s="8" t="s">
        <v>2592</v>
      </c>
      <c r="G197" s="8" t="s">
        <v>62</v>
      </c>
      <c r="H197" s="8" t="s">
        <v>352</v>
      </c>
      <c r="I197" s="9">
        <v>1</v>
      </c>
      <c r="J197" s="8" t="s">
        <v>1191</v>
      </c>
      <c r="K197" s="8"/>
      <c r="L197" s="283"/>
      <c r="M197" s="8" t="s">
        <v>11</v>
      </c>
      <c r="N197" s="8"/>
      <c r="O197" s="281"/>
      <c r="P197" s="8"/>
      <c r="Q197" s="132"/>
      <c r="R197" s="38"/>
      <c r="S197" s="8"/>
      <c r="T197" s="8"/>
      <c r="U197" s="8"/>
      <c r="V197" s="8"/>
      <c r="W197" s="8"/>
      <c r="X197" s="8"/>
      <c r="Y197" s="8"/>
      <c r="Z197" s="8"/>
      <c r="AA197" s="8"/>
    </row>
    <row r="198" spans="1:27" ht="56.25" hidden="1">
      <c r="A198" s="8" t="s">
        <v>16</v>
      </c>
      <c r="B198" s="29" t="s">
        <v>587</v>
      </c>
      <c r="C198" s="8" t="s">
        <v>588</v>
      </c>
      <c r="D198" s="8" t="s">
        <v>598</v>
      </c>
      <c r="E198" s="69" t="s">
        <v>599</v>
      </c>
      <c r="F198" s="8" t="s">
        <v>2592</v>
      </c>
      <c r="G198" s="8" t="s">
        <v>62</v>
      </c>
      <c r="H198" s="8" t="s">
        <v>352</v>
      </c>
      <c r="I198" s="9">
        <v>1</v>
      </c>
      <c r="J198" s="8" t="s">
        <v>1191</v>
      </c>
      <c r="K198" s="8"/>
      <c r="L198" s="283"/>
      <c r="M198" s="8" t="s">
        <v>11</v>
      </c>
      <c r="N198" s="8"/>
      <c r="O198" s="281"/>
      <c r="P198" s="8"/>
      <c r="Q198" s="132"/>
      <c r="R198" s="38"/>
      <c r="S198" s="8"/>
      <c r="T198" s="8"/>
      <c r="U198" s="8"/>
      <c r="V198" s="8"/>
      <c r="W198" s="8"/>
      <c r="X198" s="8"/>
      <c r="Y198" s="8"/>
      <c r="Z198" s="8"/>
      <c r="AA198" s="8"/>
    </row>
    <row r="199" spans="1:27" ht="56.25" hidden="1">
      <c r="A199" s="8" t="s">
        <v>16</v>
      </c>
      <c r="B199" s="29" t="s">
        <v>587</v>
      </c>
      <c r="C199" s="8" t="s">
        <v>588</v>
      </c>
      <c r="D199" s="8" t="s">
        <v>600</v>
      </c>
      <c r="E199" s="69" t="s">
        <v>601</v>
      </c>
      <c r="F199" s="8" t="s">
        <v>2590</v>
      </c>
      <c r="G199" s="8" t="s">
        <v>62</v>
      </c>
      <c r="H199" s="8" t="s">
        <v>352</v>
      </c>
      <c r="I199" s="9">
        <v>1</v>
      </c>
      <c r="J199" s="8" t="s">
        <v>1191</v>
      </c>
      <c r="K199" s="8" t="s">
        <v>2628</v>
      </c>
      <c r="L199" s="283"/>
      <c r="M199" s="8" t="s">
        <v>10</v>
      </c>
      <c r="N199" s="8"/>
      <c r="O199" s="281"/>
      <c r="P199" s="8"/>
      <c r="Q199" s="132"/>
      <c r="R199" s="38"/>
      <c r="S199" s="8"/>
      <c r="T199" s="8"/>
      <c r="U199" s="8"/>
      <c r="V199" s="8"/>
      <c r="W199" s="8"/>
      <c r="X199" s="8"/>
      <c r="Y199" s="8"/>
      <c r="Z199" s="8"/>
      <c r="AA199" s="8"/>
    </row>
    <row r="200" spans="1:27" ht="56.25" hidden="1">
      <c r="A200" s="8" t="s">
        <v>16</v>
      </c>
      <c r="B200" s="29" t="s">
        <v>587</v>
      </c>
      <c r="C200" s="8" t="s">
        <v>588</v>
      </c>
      <c r="D200" s="8" t="s">
        <v>602</v>
      </c>
      <c r="E200" s="69" t="s">
        <v>603</v>
      </c>
      <c r="F200" s="8" t="s">
        <v>2590</v>
      </c>
      <c r="G200" s="8" t="s">
        <v>62</v>
      </c>
      <c r="H200" s="8" t="s">
        <v>352</v>
      </c>
      <c r="I200" s="9">
        <v>1</v>
      </c>
      <c r="J200" s="8" t="s">
        <v>1191</v>
      </c>
      <c r="K200" s="8" t="s">
        <v>2628</v>
      </c>
      <c r="L200" s="283"/>
      <c r="M200" s="8" t="s">
        <v>10</v>
      </c>
      <c r="N200" s="8"/>
      <c r="O200" s="281"/>
      <c r="P200" s="8"/>
      <c r="Q200" s="132"/>
      <c r="R200" s="38"/>
      <c r="S200" s="8"/>
      <c r="T200" s="8"/>
      <c r="U200" s="8"/>
      <c r="V200" s="8"/>
      <c r="W200" s="8"/>
      <c r="X200" s="8"/>
      <c r="Y200" s="8"/>
      <c r="Z200" s="8"/>
      <c r="AA200" s="8"/>
    </row>
    <row r="201" spans="1:27" ht="56.25" hidden="1">
      <c r="A201" s="8" t="s">
        <v>16</v>
      </c>
      <c r="B201" s="29" t="s">
        <v>587</v>
      </c>
      <c r="C201" s="8" t="s">
        <v>588</v>
      </c>
      <c r="D201" s="8" t="s">
        <v>604</v>
      </c>
      <c r="E201" s="69" t="s">
        <v>605</v>
      </c>
      <c r="F201" s="8" t="s">
        <v>2590</v>
      </c>
      <c r="G201" s="8" t="s">
        <v>62</v>
      </c>
      <c r="H201" s="8" t="s">
        <v>352</v>
      </c>
      <c r="I201" s="9">
        <v>1</v>
      </c>
      <c r="J201" s="8" t="s">
        <v>1191</v>
      </c>
      <c r="K201" s="8" t="s">
        <v>2628</v>
      </c>
      <c r="L201" s="283"/>
      <c r="M201" s="8" t="s">
        <v>10</v>
      </c>
      <c r="N201" s="8"/>
      <c r="O201" s="281"/>
      <c r="P201" s="8"/>
      <c r="Q201" s="132"/>
      <c r="R201" s="38"/>
      <c r="S201" s="8"/>
      <c r="T201" s="8"/>
      <c r="U201" s="8"/>
      <c r="V201" s="8"/>
      <c r="W201" s="8"/>
      <c r="X201" s="8"/>
      <c r="Y201" s="8"/>
      <c r="Z201" s="8"/>
      <c r="AA201" s="8"/>
    </row>
    <row r="202" spans="1:27" ht="56.25" hidden="1">
      <c r="A202" s="8" t="s">
        <v>16</v>
      </c>
      <c r="B202" s="29" t="s">
        <v>587</v>
      </c>
      <c r="C202" s="8" t="s">
        <v>588</v>
      </c>
      <c r="D202" s="8" t="s">
        <v>606</v>
      </c>
      <c r="E202" s="69" t="s">
        <v>607</v>
      </c>
      <c r="F202" s="8" t="s">
        <v>2590</v>
      </c>
      <c r="G202" s="8" t="s">
        <v>62</v>
      </c>
      <c r="H202" s="8" t="s">
        <v>352</v>
      </c>
      <c r="I202" s="9">
        <v>1</v>
      </c>
      <c r="J202" s="8" t="s">
        <v>1191</v>
      </c>
      <c r="K202" s="8" t="s">
        <v>2628</v>
      </c>
      <c r="L202" s="283"/>
      <c r="M202" s="8" t="s">
        <v>10</v>
      </c>
      <c r="N202" s="8"/>
      <c r="O202" s="281"/>
      <c r="P202" s="8"/>
      <c r="Q202" s="132"/>
      <c r="R202" s="38"/>
      <c r="S202" s="8"/>
      <c r="T202" s="8"/>
      <c r="U202" s="8"/>
      <c r="V202" s="8"/>
      <c r="W202" s="8"/>
      <c r="X202" s="8"/>
      <c r="Y202" s="8"/>
      <c r="Z202" s="8"/>
      <c r="AA202" s="8"/>
    </row>
    <row r="203" spans="1:27" ht="56.25" hidden="1">
      <c r="A203" s="8" t="s">
        <v>16</v>
      </c>
      <c r="B203" s="29" t="s">
        <v>587</v>
      </c>
      <c r="C203" s="8" t="s">
        <v>588</v>
      </c>
      <c r="D203" s="8" t="s">
        <v>608</v>
      </c>
      <c r="E203" s="69" t="s">
        <v>609</v>
      </c>
      <c r="F203" s="8" t="s">
        <v>2590</v>
      </c>
      <c r="G203" s="8" t="s">
        <v>62</v>
      </c>
      <c r="H203" s="8" t="s">
        <v>352</v>
      </c>
      <c r="I203" s="9">
        <v>1</v>
      </c>
      <c r="J203" s="8" t="s">
        <v>1191</v>
      </c>
      <c r="K203" s="8" t="s">
        <v>2628</v>
      </c>
      <c r="L203" s="283"/>
      <c r="M203" s="8" t="s">
        <v>10</v>
      </c>
      <c r="N203" s="8"/>
      <c r="O203" s="281"/>
      <c r="P203" s="8"/>
      <c r="Q203" s="132"/>
      <c r="R203" s="38"/>
      <c r="S203" s="8"/>
      <c r="T203" s="8"/>
      <c r="U203" s="8"/>
      <c r="V203" s="8"/>
      <c r="W203" s="8"/>
      <c r="X203" s="8"/>
      <c r="Y203" s="8"/>
      <c r="Z203" s="8"/>
      <c r="AA203" s="8"/>
    </row>
    <row r="204" spans="1:27" ht="56.25" hidden="1">
      <c r="A204" s="8" t="s">
        <v>16</v>
      </c>
      <c r="B204" s="29" t="s">
        <v>587</v>
      </c>
      <c r="C204" s="8" t="s">
        <v>588</v>
      </c>
      <c r="D204" s="8" t="s">
        <v>610</v>
      </c>
      <c r="E204" s="8" t="s">
        <v>611</v>
      </c>
      <c r="F204" s="8" t="s">
        <v>2592</v>
      </c>
      <c r="G204" s="8" t="s">
        <v>62</v>
      </c>
      <c r="H204" s="8" t="s">
        <v>612</v>
      </c>
      <c r="I204" s="8" t="s">
        <v>110</v>
      </c>
      <c r="J204" s="8" t="s">
        <v>8</v>
      </c>
      <c r="K204" s="8"/>
      <c r="L204" s="283"/>
      <c r="M204" s="8" t="s">
        <v>9</v>
      </c>
      <c r="N204" s="8"/>
      <c r="O204" s="281"/>
      <c r="P204" s="8"/>
      <c r="Q204" s="132"/>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289"/>
      <c r="M205" s="14"/>
      <c r="N205" s="14"/>
      <c r="O205" s="290"/>
      <c r="P205" s="14"/>
      <c r="Q205" s="305"/>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t="s">
        <v>2592</v>
      </c>
      <c r="G206" s="8" t="s">
        <v>58</v>
      </c>
      <c r="H206" s="8" t="s">
        <v>428</v>
      </c>
      <c r="I206" s="9">
        <v>1</v>
      </c>
      <c r="J206" s="8" t="s">
        <v>1090</v>
      </c>
      <c r="K206" s="8"/>
      <c r="L206" s="283"/>
      <c r="M206" s="8"/>
      <c r="N206" s="8"/>
      <c r="O206" s="281"/>
      <c r="P206" s="8"/>
      <c r="Q206" s="132"/>
      <c r="R206" s="38"/>
      <c r="S206" s="8"/>
      <c r="T206" s="8"/>
      <c r="U206" s="8"/>
      <c r="V206" s="8"/>
      <c r="W206" s="8"/>
      <c r="X206" s="8"/>
      <c r="Y206" s="8"/>
      <c r="Z206" s="8"/>
      <c r="AA206" s="8"/>
    </row>
    <row r="207" spans="1:27" ht="63" hidden="1">
      <c r="A207" s="8" t="s">
        <v>16</v>
      </c>
      <c r="B207" s="29" t="s">
        <v>587</v>
      </c>
      <c r="C207" s="8" t="s">
        <v>613</v>
      </c>
      <c r="D207" s="8" t="s">
        <v>618</v>
      </c>
      <c r="E207" s="8" t="s">
        <v>619</v>
      </c>
      <c r="F207" s="8"/>
      <c r="G207" s="8" t="s">
        <v>71</v>
      </c>
      <c r="H207" s="8" t="s">
        <v>432</v>
      </c>
      <c r="I207" s="8">
        <v>2030</v>
      </c>
      <c r="J207" s="8"/>
      <c r="K207" s="8"/>
      <c r="L207" s="283"/>
      <c r="M207" s="8"/>
      <c r="N207" s="8"/>
      <c r="O207" s="281"/>
      <c r="P207" s="8"/>
      <c r="Q207" s="132"/>
      <c r="R207" s="38"/>
      <c r="S207" s="8"/>
      <c r="T207" s="8"/>
      <c r="U207" s="8"/>
      <c r="V207" s="8"/>
      <c r="W207" s="8"/>
      <c r="X207" s="8"/>
      <c r="Y207" s="8"/>
      <c r="Z207" s="8"/>
      <c r="AA207" s="8"/>
    </row>
    <row r="208" spans="1:27" ht="78.75" hidden="1">
      <c r="A208" s="8" t="s">
        <v>16</v>
      </c>
      <c r="B208" s="29" t="s">
        <v>587</v>
      </c>
      <c r="C208" s="8" t="s">
        <v>620</v>
      </c>
      <c r="D208" s="8" t="s">
        <v>621</v>
      </c>
      <c r="E208" s="8" t="s">
        <v>622</v>
      </c>
      <c r="F208" s="8" t="s">
        <v>2590</v>
      </c>
      <c r="G208" s="8" t="s">
        <v>58</v>
      </c>
      <c r="H208" s="8" t="s">
        <v>623</v>
      </c>
      <c r="I208" s="9">
        <v>1</v>
      </c>
      <c r="J208" s="8" t="s">
        <v>1090</v>
      </c>
      <c r="K208" s="8"/>
      <c r="L208" s="283"/>
      <c r="M208" s="8"/>
      <c r="N208" s="8"/>
      <c r="O208" s="281"/>
      <c r="P208" s="8"/>
      <c r="Q208" s="132"/>
      <c r="R208" s="38"/>
      <c r="S208" s="8"/>
      <c r="T208" s="8"/>
      <c r="U208" s="8"/>
      <c r="V208" s="8"/>
      <c r="W208" s="8"/>
      <c r="X208" s="8"/>
      <c r="Y208" s="8"/>
      <c r="Z208" s="8"/>
      <c r="AA208" s="8"/>
    </row>
    <row r="209" spans="1:27" ht="78.75" hidden="1">
      <c r="A209" s="8" t="s">
        <v>16</v>
      </c>
      <c r="B209" s="29" t="s">
        <v>587</v>
      </c>
      <c r="C209" s="8" t="s">
        <v>624</v>
      </c>
      <c r="D209" s="8" t="s">
        <v>625</v>
      </c>
      <c r="E209" s="8" t="s">
        <v>626</v>
      </c>
      <c r="F209" s="8" t="s">
        <v>2592</v>
      </c>
      <c r="G209" s="8" t="s">
        <v>62</v>
      </c>
      <c r="H209" s="8" t="s">
        <v>627</v>
      </c>
      <c r="I209" s="9">
        <v>0.5</v>
      </c>
      <c r="J209" s="8" t="s">
        <v>1090</v>
      </c>
      <c r="K209" s="8"/>
      <c r="L209" s="283"/>
      <c r="M209" s="8"/>
      <c r="N209" s="8"/>
      <c r="O209" s="281"/>
      <c r="P209" s="8"/>
      <c r="Q209" s="132"/>
      <c r="R209" s="38"/>
      <c r="S209" s="8"/>
      <c r="T209" s="8"/>
      <c r="U209" s="8"/>
      <c r="V209" s="8"/>
      <c r="W209" s="8"/>
      <c r="X209" s="8"/>
      <c r="Y209" s="8"/>
      <c r="Z209" s="8"/>
      <c r="AA209" s="8"/>
    </row>
    <row r="210" spans="1:27" ht="78.75" hidden="1">
      <c r="A210" s="8" t="s">
        <v>16</v>
      </c>
      <c r="B210" s="29" t="s">
        <v>587</v>
      </c>
      <c r="C210" s="8" t="s">
        <v>624</v>
      </c>
      <c r="D210" s="8" t="s">
        <v>628</v>
      </c>
      <c r="E210" s="8" t="s">
        <v>629</v>
      </c>
      <c r="F210" s="8" t="s">
        <v>2592</v>
      </c>
      <c r="G210" s="8" t="s">
        <v>62</v>
      </c>
      <c r="H210" s="8" t="s">
        <v>476</v>
      </c>
      <c r="I210" s="8" t="s">
        <v>210</v>
      </c>
      <c r="J210" s="8" t="s">
        <v>1090</v>
      </c>
      <c r="K210" s="8"/>
      <c r="L210" s="283"/>
      <c r="M210" s="8"/>
      <c r="N210" s="8"/>
      <c r="O210" s="281"/>
      <c r="P210" s="8"/>
      <c r="Q210" s="132"/>
      <c r="R210" s="38"/>
      <c r="S210" s="8"/>
      <c r="T210" s="8"/>
      <c r="U210" s="8"/>
      <c r="V210" s="8"/>
      <c r="W210" s="8"/>
      <c r="X210" s="8"/>
      <c r="Y210" s="8"/>
      <c r="Z210" s="8"/>
      <c r="AA210" s="8"/>
    </row>
    <row r="211" spans="1:27" ht="94.5" hidden="1">
      <c r="A211" s="8" t="s">
        <v>16</v>
      </c>
      <c r="B211" s="29" t="s">
        <v>587</v>
      </c>
      <c r="C211" s="8" t="s">
        <v>624</v>
      </c>
      <c r="D211" s="8" t="s">
        <v>630</v>
      </c>
      <c r="E211" s="8" t="s">
        <v>631</v>
      </c>
      <c r="F211" s="8" t="s">
        <v>2592</v>
      </c>
      <c r="G211" s="8" t="s">
        <v>62</v>
      </c>
      <c r="H211" s="8" t="s">
        <v>476</v>
      </c>
      <c r="I211" s="8" t="s">
        <v>210</v>
      </c>
      <c r="J211" s="8" t="s">
        <v>1090</v>
      </c>
      <c r="K211" s="8"/>
      <c r="L211" s="283"/>
      <c r="M211" s="8"/>
      <c r="N211" s="8"/>
      <c r="O211" s="281"/>
      <c r="P211" s="8"/>
      <c r="Q211" s="132"/>
      <c r="R211" s="38"/>
      <c r="S211" s="8"/>
      <c r="T211" s="8"/>
      <c r="U211" s="8"/>
      <c r="V211" s="8"/>
      <c r="W211" s="8"/>
      <c r="X211" s="8"/>
      <c r="Y211" s="8"/>
      <c r="Z211" s="8"/>
      <c r="AA211" s="8"/>
    </row>
    <row r="212" spans="1:27" ht="252" hidden="1">
      <c r="A212" s="8" t="s">
        <v>16</v>
      </c>
      <c r="B212" s="29" t="s">
        <v>587</v>
      </c>
      <c r="C212" s="8" t="s">
        <v>624</v>
      </c>
      <c r="D212" s="8" t="s">
        <v>632</v>
      </c>
      <c r="E212" s="8" t="s">
        <v>633</v>
      </c>
      <c r="F212" s="8" t="s">
        <v>2592</v>
      </c>
      <c r="G212" s="8" t="s">
        <v>62</v>
      </c>
      <c r="H212" s="8" t="s">
        <v>634</v>
      </c>
      <c r="I212" s="9">
        <v>1</v>
      </c>
      <c r="J212" s="8" t="s">
        <v>1090</v>
      </c>
      <c r="K212" s="8"/>
      <c r="L212" s="283"/>
      <c r="M212" s="8"/>
      <c r="N212" s="8"/>
      <c r="O212" s="281"/>
      <c r="P212" s="8"/>
      <c r="Q212" s="132"/>
      <c r="R212" s="38"/>
      <c r="S212" s="8"/>
      <c r="T212" s="8"/>
      <c r="U212" s="8"/>
      <c r="V212" s="8"/>
      <c r="W212" s="8"/>
      <c r="X212" s="8"/>
      <c r="Y212" s="8"/>
      <c r="Z212" s="8"/>
      <c r="AA212" s="8"/>
    </row>
    <row r="213" spans="1:27" ht="78.75" hidden="1">
      <c r="A213" s="8" t="s">
        <v>16</v>
      </c>
      <c r="B213" s="29" t="s">
        <v>587</v>
      </c>
      <c r="C213" s="8" t="s">
        <v>624</v>
      </c>
      <c r="D213" s="8" t="s">
        <v>635</v>
      </c>
      <c r="E213" s="8" t="s">
        <v>636</v>
      </c>
      <c r="F213" s="8"/>
      <c r="G213" s="8" t="s">
        <v>71</v>
      </c>
      <c r="H213" s="8" t="s">
        <v>637</v>
      </c>
      <c r="I213" s="8" t="s">
        <v>638</v>
      </c>
      <c r="J213" s="8"/>
      <c r="K213" s="8"/>
      <c r="L213" s="283"/>
      <c r="M213" s="8"/>
      <c r="N213" s="8"/>
      <c r="O213" s="281"/>
      <c r="P213" s="8"/>
      <c r="Q213" s="132"/>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t="s">
        <v>2592</v>
      </c>
      <c r="G215" s="8" t="s">
        <v>62</v>
      </c>
      <c r="H215" s="8" t="s">
        <v>484</v>
      </c>
      <c r="I215" s="8" t="s">
        <v>485</v>
      </c>
      <c r="J215" s="8" t="s">
        <v>1090</v>
      </c>
      <c r="K215" s="8"/>
      <c r="L215" s="283"/>
      <c r="M215" s="8"/>
      <c r="N215" s="8"/>
      <c r="O215" s="281"/>
      <c r="P215" s="8"/>
      <c r="Q215" s="132"/>
      <c r="R215" s="38"/>
      <c r="S215" s="8"/>
      <c r="T215" s="8"/>
      <c r="U215" s="8"/>
      <c r="V215" s="8"/>
      <c r="W215" s="8"/>
      <c r="X215" s="8"/>
      <c r="Y215" s="8"/>
      <c r="Z215" s="8"/>
      <c r="AA215" s="8"/>
    </row>
    <row r="216" spans="1:27" ht="63" hidden="1">
      <c r="A216" s="8" t="s">
        <v>18</v>
      </c>
      <c r="B216" s="29" t="s">
        <v>54</v>
      </c>
      <c r="C216" s="8" t="s">
        <v>643</v>
      </c>
      <c r="D216" s="8" t="s">
        <v>644</v>
      </c>
      <c r="E216" s="8" t="s">
        <v>645</v>
      </c>
      <c r="F216" s="8" t="s">
        <v>2592</v>
      </c>
      <c r="G216" s="8" t="s">
        <v>62</v>
      </c>
      <c r="H216" s="8" t="s">
        <v>646</v>
      </c>
      <c r="I216" s="8" t="s">
        <v>85</v>
      </c>
      <c r="J216" s="8" t="s">
        <v>1090</v>
      </c>
      <c r="K216" s="8"/>
      <c r="L216" s="283"/>
      <c r="M216" s="8"/>
      <c r="N216" s="8"/>
      <c r="O216" s="281"/>
      <c r="P216" s="8"/>
      <c r="Q216" s="132"/>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283"/>
      <c r="M217" s="8"/>
      <c r="N217" s="8"/>
      <c r="O217" s="281"/>
      <c r="P217" s="8"/>
      <c r="Q217" s="132"/>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283"/>
      <c r="M218" s="8"/>
      <c r="N218" s="8"/>
      <c r="O218" s="281"/>
      <c r="P218" s="8"/>
      <c r="Q218" s="132"/>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283"/>
      <c r="M219" s="8"/>
      <c r="N219" s="8"/>
      <c r="O219" s="281"/>
      <c r="P219" s="8"/>
      <c r="Q219" s="132"/>
      <c r="R219" s="38"/>
      <c r="S219" s="8"/>
      <c r="T219" s="8"/>
      <c r="U219" s="8"/>
      <c r="V219" s="8"/>
      <c r="W219" s="8"/>
      <c r="X219" s="8"/>
      <c r="Y219" s="8"/>
      <c r="Z219" s="8"/>
      <c r="AA219" s="8"/>
    </row>
    <row r="220" spans="1:27" ht="63" hidden="1">
      <c r="A220" s="8" t="s">
        <v>18</v>
      </c>
      <c r="B220" s="29" t="s">
        <v>54</v>
      </c>
      <c r="C220" s="8" t="s">
        <v>643</v>
      </c>
      <c r="D220" s="8" t="s">
        <v>656</v>
      </c>
      <c r="E220" s="8" t="s">
        <v>657</v>
      </c>
      <c r="F220" s="8" t="s">
        <v>2592</v>
      </c>
      <c r="G220" s="8" t="s">
        <v>62</v>
      </c>
      <c r="H220" s="8" t="s">
        <v>658</v>
      </c>
      <c r="I220" s="8" t="s">
        <v>659</v>
      </c>
      <c r="J220" s="8" t="s">
        <v>1090</v>
      </c>
      <c r="K220" s="8" t="s">
        <v>2629</v>
      </c>
      <c r="L220" s="283"/>
      <c r="M220" s="8"/>
      <c r="N220" s="8"/>
      <c r="O220" s="281"/>
      <c r="P220" s="8"/>
      <c r="Q220" s="132"/>
      <c r="R220" s="38"/>
      <c r="S220" s="8"/>
      <c r="T220" s="8"/>
      <c r="U220" s="8"/>
      <c r="V220" s="8"/>
      <c r="W220" s="8"/>
      <c r="X220" s="8"/>
      <c r="Y220" s="8"/>
      <c r="Z220" s="8"/>
      <c r="AA220" s="8"/>
    </row>
    <row r="221" spans="1:27" ht="63" hidden="1">
      <c r="A221" s="8" t="s">
        <v>18</v>
      </c>
      <c r="B221" s="29" t="s">
        <v>54</v>
      </c>
      <c r="C221" s="8" t="s">
        <v>660</v>
      </c>
      <c r="D221" s="8" t="s">
        <v>661</v>
      </c>
      <c r="E221" s="8" t="s">
        <v>529</v>
      </c>
      <c r="F221" s="8" t="s">
        <v>2592</v>
      </c>
      <c r="G221" s="8" t="s">
        <v>62</v>
      </c>
      <c r="H221" s="8" t="s">
        <v>530</v>
      </c>
      <c r="I221" s="8" t="s">
        <v>135</v>
      </c>
      <c r="J221" s="8" t="s">
        <v>8</v>
      </c>
      <c r="K221" s="8" t="s">
        <v>2630</v>
      </c>
      <c r="L221" s="283"/>
      <c r="M221" s="8" t="s">
        <v>9</v>
      </c>
      <c r="N221" s="8" t="s">
        <v>2595</v>
      </c>
      <c r="O221" s="281"/>
      <c r="P221" s="8"/>
      <c r="Q221" s="132"/>
      <c r="R221" s="38"/>
      <c r="S221" s="8"/>
      <c r="T221" s="8"/>
      <c r="U221" s="8"/>
      <c r="V221" s="8"/>
      <c r="W221" s="8"/>
      <c r="X221" s="8"/>
      <c r="Y221" s="8"/>
      <c r="Z221" s="8"/>
      <c r="AA221" s="8"/>
    </row>
    <row r="222" spans="1:27" ht="94.5" hidden="1">
      <c r="A222" s="8" t="s">
        <v>18</v>
      </c>
      <c r="B222" s="29" t="s">
        <v>54</v>
      </c>
      <c r="C222" s="8" t="s">
        <v>660</v>
      </c>
      <c r="D222" s="8" t="s">
        <v>662</v>
      </c>
      <c r="E222" s="8" t="s">
        <v>524</v>
      </c>
      <c r="F222" s="8" t="s">
        <v>2592</v>
      </c>
      <c r="G222" s="8" t="s">
        <v>62</v>
      </c>
      <c r="H222" s="8" t="s">
        <v>525</v>
      </c>
      <c r="I222" s="8" t="s">
        <v>526</v>
      </c>
      <c r="J222" s="8" t="s">
        <v>8</v>
      </c>
      <c r="K222" s="8"/>
      <c r="L222" s="283"/>
      <c r="M222" s="8" t="s">
        <v>12</v>
      </c>
      <c r="N222" s="8"/>
      <c r="O222" s="281"/>
      <c r="P222" s="8"/>
      <c r="Q222" s="132"/>
      <c r="R222" s="38"/>
      <c r="S222" s="8"/>
      <c r="T222" s="8"/>
      <c r="U222" s="8"/>
      <c r="V222" s="8"/>
      <c r="W222" s="8"/>
      <c r="X222" s="8"/>
      <c r="Y222" s="8"/>
      <c r="Z222" s="8"/>
      <c r="AA222" s="8"/>
    </row>
    <row r="223" spans="1:27" ht="78.75" hidden="1">
      <c r="A223" s="8" t="s">
        <v>18</v>
      </c>
      <c r="B223" s="29" t="s">
        <v>195</v>
      </c>
      <c r="C223" s="8" t="s">
        <v>663</v>
      </c>
      <c r="D223" s="8" t="s">
        <v>664</v>
      </c>
      <c r="E223" s="8" t="s">
        <v>665</v>
      </c>
      <c r="F223" s="8" t="s">
        <v>2592</v>
      </c>
      <c r="G223" s="8" t="s">
        <v>62</v>
      </c>
      <c r="H223" s="8" t="s">
        <v>666</v>
      </c>
      <c r="I223" s="8" t="s">
        <v>667</v>
      </c>
      <c r="J223" s="8" t="s">
        <v>1090</v>
      </c>
      <c r="K223" s="8"/>
      <c r="L223" s="283"/>
      <c r="M223" s="8"/>
      <c r="N223" s="8"/>
      <c r="O223" s="281"/>
      <c r="P223" s="8"/>
      <c r="Q223" s="132"/>
      <c r="R223" s="38"/>
      <c r="S223" s="8"/>
      <c r="T223" s="8"/>
      <c r="U223" s="8"/>
      <c r="V223" s="8"/>
      <c r="W223" s="8"/>
      <c r="X223" s="8"/>
      <c r="Y223" s="8"/>
      <c r="Z223" s="8"/>
      <c r="AA223" s="8"/>
    </row>
    <row r="224" spans="1:27" ht="78.75" hidden="1">
      <c r="A224" s="8" t="s">
        <v>18</v>
      </c>
      <c r="B224" s="29" t="s">
        <v>195</v>
      </c>
      <c r="C224" s="8" t="s">
        <v>663</v>
      </c>
      <c r="D224" s="8" t="s">
        <v>668</v>
      </c>
      <c r="E224" s="8" t="s">
        <v>669</v>
      </c>
      <c r="F224" s="8" t="s">
        <v>2592</v>
      </c>
      <c r="G224" s="8" t="s">
        <v>62</v>
      </c>
      <c r="H224" s="8" t="s">
        <v>670</v>
      </c>
      <c r="I224" s="8" t="s">
        <v>671</v>
      </c>
      <c r="J224" s="8" t="s">
        <v>1090</v>
      </c>
      <c r="K224" s="8"/>
      <c r="L224" s="283"/>
      <c r="M224" s="8"/>
      <c r="N224" s="8"/>
      <c r="O224" s="281"/>
      <c r="P224" s="8"/>
      <c r="Q224" s="132"/>
      <c r="R224" s="38"/>
      <c r="S224" s="8"/>
      <c r="T224" s="8"/>
      <c r="U224" s="8"/>
      <c r="V224" s="8"/>
      <c r="W224" s="8"/>
      <c r="X224" s="8"/>
      <c r="Y224" s="8"/>
      <c r="Z224" s="8"/>
      <c r="AA224" s="8"/>
    </row>
    <row r="225" spans="1:27" ht="94.5" hidden="1">
      <c r="A225" s="8" t="s">
        <v>18</v>
      </c>
      <c r="B225" s="29" t="s">
        <v>195</v>
      </c>
      <c r="C225" s="8" t="s">
        <v>663</v>
      </c>
      <c r="D225" s="8" t="s">
        <v>672</v>
      </c>
      <c r="E225" s="8" t="s">
        <v>673</v>
      </c>
      <c r="F225" s="8" t="s">
        <v>2592</v>
      </c>
      <c r="G225" s="8" t="s">
        <v>62</v>
      </c>
      <c r="H225" s="8" t="s">
        <v>537</v>
      </c>
      <c r="I225" s="8" t="s">
        <v>538</v>
      </c>
      <c r="J225" s="8" t="s">
        <v>1191</v>
      </c>
      <c r="K225" s="8"/>
      <c r="L225" s="283" t="s">
        <v>1380</v>
      </c>
      <c r="M225" s="8" t="s">
        <v>11</v>
      </c>
      <c r="N225" s="8"/>
      <c r="O225" s="281"/>
      <c r="P225" s="8"/>
      <c r="Q225" s="132"/>
      <c r="R225" s="38"/>
      <c r="S225" s="8"/>
      <c r="T225" s="8"/>
      <c r="U225" s="8"/>
      <c r="V225" s="8"/>
      <c r="W225" s="8"/>
      <c r="X225" s="8"/>
      <c r="Y225" s="8"/>
      <c r="Z225" s="8"/>
      <c r="AA225" s="8"/>
    </row>
    <row r="226" spans="1:27" ht="63" hidden="1">
      <c r="A226" s="8" t="s">
        <v>18</v>
      </c>
      <c r="B226" s="29" t="s">
        <v>195</v>
      </c>
      <c r="C226" s="8" t="s">
        <v>674</v>
      </c>
      <c r="D226" s="8" t="s">
        <v>675</v>
      </c>
      <c r="E226" s="8" t="s">
        <v>676</v>
      </c>
      <c r="F226" s="8" t="s">
        <v>2592</v>
      </c>
      <c r="G226" s="8" t="s">
        <v>62</v>
      </c>
      <c r="H226" s="8" t="s">
        <v>677</v>
      </c>
      <c r="I226" s="9">
        <v>1</v>
      </c>
      <c r="J226" s="8" t="s">
        <v>1191</v>
      </c>
      <c r="K226" s="8"/>
      <c r="L226" s="283" t="s">
        <v>1380</v>
      </c>
      <c r="M226" s="8" t="s">
        <v>11</v>
      </c>
      <c r="N226" s="8"/>
      <c r="O226" s="281"/>
      <c r="P226" s="8"/>
      <c r="Q226" s="132"/>
      <c r="R226" s="38"/>
      <c r="S226" s="8"/>
      <c r="T226" s="8"/>
      <c r="U226" s="8"/>
      <c r="V226" s="8"/>
      <c r="W226" s="8"/>
      <c r="X226" s="8"/>
      <c r="Y226" s="8"/>
      <c r="Z226" s="8"/>
      <c r="AA226" s="8"/>
    </row>
    <row r="227" spans="1:27" ht="78.75" hidden="1">
      <c r="A227" s="8" t="s">
        <v>18</v>
      </c>
      <c r="B227" s="29" t="s">
        <v>195</v>
      </c>
      <c r="C227" s="8" t="s">
        <v>678</v>
      </c>
      <c r="D227" s="8" t="s">
        <v>679</v>
      </c>
      <c r="E227" s="322" t="s">
        <v>253</v>
      </c>
      <c r="F227" s="20"/>
      <c r="G227" s="20" t="s">
        <v>62</v>
      </c>
      <c r="H227" s="20"/>
      <c r="I227" s="22"/>
      <c r="J227" s="20"/>
      <c r="K227" s="20"/>
      <c r="L227" s="278"/>
      <c r="M227" s="20"/>
      <c r="N227" s="20"/>
      <c r="O227" s="279"/>
      <c r="P227" s="20"/>
      <c r="Q227" s="132"/>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t="s">
        <v>2590</v>
      </c>
      <c r="G228" s="8" t="s">
        <v>62</v>
      </c>
      <c r="H228" s="8" t="s">
        <v>254</v>
      </c>
      <c r="I228" s="9">
        <v>1</v>
      </c>
      <c r="J228" s="8" t="s">
        <v>1191</v>
      </c>
      <c r="K228" s="8" t="s">
        <v>2623</v>
      </c>
      <c r="L228" s="283" t="s">
        <v>2624</v>
      </c>
      <c r="M228" s="8" t="s">
        <v>10</v>
      </c>
      <c r="N228" s="8" t="s">
        <v>2625</v>
      </c>
      <c r="O228" s="281"/>
      <c r="P228" s="8"/>
      <c r="Q228" s="132"/>
      <c r="R228" s="38"/>
      <c r="S228" s="8"/>
      <c r="T228" s="8"/>
      <c r="U228" s="8"/>
      <c r="V228" s="8"/>
      <c r="W228" s="8"/>
      <c r="X228" s="8"/>
      <c r="Y228" s="8"/>
      <c r="Z228" s="8"/>
      <c r="AA228" s="8"/>
    </row>
    <row r="229" spans="1:27" ht="47.25" hidden="1">
      <c r="A229" s="8" t="s">
        <v>18</v>
      </c>
      <c r="B229" s="29" t="s">
        <v>195</v>
      </c>
      <c r="C229" s="8" t="s">
        <v>678</v>
      </c>
      <c r="D229" s="8" t="s">
        <v>682</v>
      </c>
      <c r="E229" s="69" t="s">
        <v>548</v>
      </c>
      <c r="F229" s="8" t="s">
        <v>2590</v>
      </c>
      <c r="G229" s="8" t="s">
        <v>62</v>
      </c>
      <c r="H229" s="8" t="s">
        <v>549</v>
      </c>
      <c r="I229" s="9">
        <v>1</v>
      </c>
      <c r="J229" s="8" t="s">
        <v>1191</v>
      </c>
      <c r="K229" s="8" t="s">
        <v>2623</v>
      </c>
      <c r="L229" s="283" t="s">
        <v>2624</v>
      </c>
      <c r="M229" s="8" t="s">
        <v>10</v>
      </c>
      <c r="N229" s="8" t="s">
        <v>2625</v>
      </c>
      <c r="O229" s="281"/>
      <c r="P229" s="8"/>
      <c r="Q229" s="132"/>
      <c r="R229" s="38"/>
      <c r="S229" s="8"/>
      <c r="T229" s="8"/>
      <c r="U229" s="8"/>
      <c r="V229" s="8"/>
      <c r="W229" s="8"/>
      <c r="X229" s="8"/>
      <c r="Y229" s="8"/>
      <c r="Z229" s="8"/>
      <c r="AA229" s="8"/>
    </row>
    <row r="230" spans="1:27" ht="110.25" hidden="1">
      <c r="A230" s="8" t="s">
        <v>18</v>
      </c>
      <c r="B230" s="29" t="s">
        <v>195</v>
      </c>
      <c r="C230" s="8" t="s">
        <v>678</v>
      </c>
      <c r="D230" s="8" t="s">
        <v>683</v>
      </c>
      <c r="E230" s="69" t="s">
        <v>684</v>
      </c>
      <c r="F230" s="8" t="s">
        <v>2590</v>
      </c>
      <c r="G230" s="8" t="s">
        <v>62</v>
      </c>
      <c r="H230" s="8" t="s">
        <v>685</v>
      </c>
      <c r="I230" s="9">
        <v>1</v>
      </c>
      <c r="J230" s="8" t="s">
        <v>1191</v>
      </c>
      <c r="K230" s="8" t="s">
        <v>2623</v>
      </c>
      <c r="L230" s="283" t="s">
        <v>2624</v>
      </c>
      <c r="M230" s="8" t="s">
        <v>10</v>
      </c>
      <c r="N230" s="8" t="s">
        <v>2625</v>
      </c>
      <c r="O230" s="281"/>
      <c r="P230" s="8"/>
      <c r="Q230" s="132"/>
      <c r="R230" s="38"/>
      <c r="S230" s="8"/>
      <c r="T230" s="8"/>
      <c r="U230" s="8"/>
      <c r="V230" s="8"/>
      <c r="W230" s="8"/>
      <c r="X230" s="8"/>
      <c r="Y230" s="8"/>
      <c r="Z230" s="8"/>
      <c r="AA230" s="8"/>
    </row>
    <row r="231" spans="1:27" ht="47.25" hidden="1">
      <c r="A231" s="8" t="s">
        <v>18</v>
      </c>
      <c r="B231" s="29" t="s">
        <v>195</v>
      </c>
      <c r="C231" s="8" t="s">
        <v>686</v>
      </c>
      <c r="D231" s="8" t="s">
        <v>687</v>
      </c>
      <c r="E231" s="8" t="s">
        <v>688</v>
      </c>
      <c r="F231" s="8" t="s">
        <v>2592</v>
      </c>
      <c r="G231" s="8" t="s">
        <v>62</v>
      </c>
      <c r="H231" s="8" t="s">
        <v>259</v>
      </c>
      <c r="I231" s="8" t="s">
        <v>210</v>
      </c>
      <c r="J231" s="8" t="s">
        <v>1191</v>
      </c>
      <c r="K231" s="8"/>
      <c r="L231" s="283" t="s">
        <v>1380</v>
      </c>
      <c r="M231" s="8" t="s">
        <v>11</v>
      </c>
      <c r="N231" s="8"/>
      <c r="O231" s="281"/>
      <c r="P231" s="8"/>
      <c r="Q231" s="132"/>
      <c r="R231" s="38"/>
      <c r="S231" s="8"/>
      <c r="T231" s="8"/>
      <c r="U231" s="8"/>
      <c r="V231" s="8"/>
      <c r="W231" s="8"/>
      <c r="X231" s="8"/>
      <c r="Y231" s="8"/>
      <c r="Z231" s="8"/>
      <c r="AA231" s="8"/>
    </row>
    <row r="232" spans="1:27" ht="78.75" hidden="1">
      <c r="A232" s="8" t="s">
        <v>18</v>
      </c>
      <c r="B232" s="29" t="s">
        <v>274</v>
      </c>
      <c r="C232" s="8" t="s">
        <v>689</v>
      </c>
      <c r="D232" s="8" t="s">
        <v>690</v>
      </c>
      <c r="E232" s="8" t="s">
        <v>691</v>
      </c>
      <c r="F232" s="8" t="s">
        <v>2592</v>
      </c>
      <c r="G232" s="8" t="s">
        <v>62</v>
      </c>
      <c r="H232" s="8" t="s">
        <v>692</v>
      </c>
      <c r="I232" s="9">
        <v>1</v>
      </c>
      <c r="J232" s="8" t="s">
        <v>1191</v>
      </c>
      <c r="K232" s="8"/>
      <c r="L232" s="283" t="s">
        <v>1380</v>
      </c>
      <c r="M232" s="8" t="s">
        <v>11</v>
      </c>
      <c r="N232" s="8"/>
      <c r="O232" s="281"/>
      <c r="P232" s="8"/>
      <c r="Q232" s="132"/>
      <c r="R232" s="38"/>
      <c r="S232" s="8"/>
      <c r="T232" s="8"/>
      <c r="U232" s="8"/>
      <c r="V232" s="8"/>
      <c r="W232" s="8"/>
      <c r="X232" s="8"/>
      <c r="Y232" s="8"/>
      <c r="Z232" s="8"/>
      <c r="AA232" s="8"/>
    </row>
    <row r="233" spans="1:27" ht="94.5" hidden="1">
      <c r="A233" s="8" t="s">
        <v>18</v>
      </c>
      <c r="B233" s="29" t="s">
        <v>274</v>
      </c>
      <c r="C233" s="8" t="s">
        <v>693</v>
      </c>
      <c r="D233" s="8" t="s">
        <v>694</v>
      </c>
      <c r="E233" s="8" t="s">
        <v>695</v>
      </c>
      <c r="F233" s="8" t="s">
        <v>2592</v>
      </c>
      <c r="G233" s="8" t="s">
        <v>62</v>
      </c>
      <c r="H233" s="8" t="s">
        <v>696</v>
      </c>
      <c r="I233" s="8" t="s">
        <v>697</v>
      </c>
      <c r="J233" s="8" t="s">
        <v>1090</v>
      </c>
      <c r="K233" s="8"/>
      <c r="L233" s="283"/>
      <c r="M233" s="8"/>
      <c r="N233" s="8"/>
      <c r="O233" s="281"/>
      <c r="P233" s="8"/>
      <c r="Q233" s="132"/>
      <c r="R233" s="38"/>
      <c r="S233" s="8"/>
      <c r="T233" s="8"/>
      <c r="U233" s="8"/>
      <c r="V233" s="8"/>
      <c r="W233" s="8"/>
      <c r="X233" s="8"/>
      <c r="Y233" s="8"/>
      <c r="Z233" s="8"/>
      <c r="AA233" s="8"/>
    </row>
    <row r="234" spans="1:27" ht="78.75" hidden="1">
      <c r="A234" s="8" t="s">
        <v>18</v>
      </c>
      <c r="B234" s="29" t="s">
        <v>274</v>
      </c>
      <c r="C234" s="8" t="s">
        <v>693</v>
      </c>
      <c r="D234" s="8" t="s">
        <v>698</v>
      </c>
      <c r="E234" s="8" t="s">
        <v>699</v>
      </c>
      <c r="F234" s="8" t="s">
        <v>2592</v>
      </c>
      <c r="G234" s="8" t="s">
        <v>62</v>
      </c>
      <c r="H234" s="8" t="s">
        <v>700</v>
      </c>
      <c r="I234" s="8" t="s">
        <v>701</v>
      </c>
      <c r="J234" s="8" t="s">
        <v>8</v>
      </c>
      <c r="K234" s="8"/>
      <c r="L234" s="283"/>
      <c r="M234" s="8" t="s">
        <v>12</v>
      </c>
      <c r="N234" s="8"/>
      <c r="O234" s="281"/>
      <c r="P234" s="8"/>
      <c r="Q234" s="132"/>
      <c r="R234" s="38"/>
      <c r="S234" s="8"/>
      <c r="T234" s="8"/>
      <c r="U234" s="8"/>
      <c r="V234" s="8"/>
      <c r="W234" s="8"/>
      <c r="X234" s="8"/>
      <c r="Y234" s="8"/>
      <c r="Z234" s="8"/>
      <c r="AA234" s="8"/>
    </row>
    <row r="235" spans="1:27" ht="78.75" hidden="1">
      <c r="A235" s="8" t="s">
        <v>18</v>
      </c>
      <c r="B235" s="29" t="s">
        <v>274</v>
      </c>
      <c r="C235" s="8" t="s">
        <v>693</v>
      </c>
      <c r="D235" s="8" t="s">
        <v>702</v>
      </c>
      <c r="E235" s="8" t="s">
        <v>579</v>
      </c>
      <c r="F235" s="8" t="s">
        <v>2592</v>
      </c>
      <c r="G235" s="8" t="s">
        <v>62</v>
      </c>
      <c r="H235" s="8" t="s">
        <v>703</v>
      </c>
      <c r="I235" s="8" t="s">
        <v>701</v>
      </c>
      <c r="J235" s="8" t="s">
        <v>1090</v>
      </c>
      <c r="K235" s="8" t="s">
        <v>2631</v>
      </c>
      <c r="L235" s="283"/>
      <c r="M235" s="8"/>
      <c r="N235" s="8"/>
      <c r="O235" s="281"/>
      <c r="P235" s="8"/>
      <c r="Q235" s="132"/>
      <c r="R235" s="38"/>
      <c r="S235" s="8"/>
      <c r="T235" s="8"/>
      <c r="U235" s="8"/>
      <c r="V235" s="8"/>
      <c r="W235" s="8"/>
      <c r="X235" s="8"/>
      <c r="Y235" s="8"/>
      <c r="Z235" s="8"/>
      <c r="AA235" s="8"/>
    </row>
    <row r="236" spans="1:27" ht="47.25" hidden="1">
      <c r="A236" s="20" t="s">
        <v>18</v>
      </c>
      <c r="B236" s="30" t="s">
        <v>274</v>
      </c>
      <c r="C236" s="19" t="s">
        <v>704</v>
      </c>
      <c r="D236" s="19" t="s">
        <v>582</v>
      </c>
      <c r="E236" s="19" t="s">
        <v>582</v>
      </c>
      <c r="F236" s="19" t="s">
        <v>582</v>
      </c>
      <c r="G236" s="19" t="s">
        <v>582</v>
      </c>
      <c r="H236" s="19" t="s">
        <v>582</v>
      </c>
      <c r="I236" s="19" t="s">
        <v>582</v>
      </c>
      <c r="J236" s="19" t="s">
        <v>582</v>
      </c>
      <c r="K236" s="19" t="s">
        <v>582</v>
      </c>
      <c r="L236" s="19" t="s">
        <v>582</v>
      </c>
      <c r="M236" s="19" t="s">
        <v>582</v>
      </c>
      <c r="N236" s="19" t="s">
        <v>582</v>
      </c>
      <c r="O236" s="19" t="s">
        <v>582</v>
      </c>
      <c r="P236" s="19" t="s">
        <v>582</v>
      </c>
      <c r="Q236" s="48"/>
      <c r="R236" s="44" t="s">
        <v>582</v>
      </c>
      <c r="S236" s="19" t="s">
        <v>582</v>
      </c>
      <c r="T236" s="19" t="s">
        <v>582</v>
      </c>
      <c r="U236" s="19"/>
      <c r="V236" s="19" t="s">
        <v>582</v>
      </c>
      <c r="W236" s="19" t="s">
        <v>582</v>
      </c>
      <c r="X236" s="19" t="s">
        <v>582</v>
      </c>
      <c r="Y236" s="19" t="s">
        <v>582</v>
      </c>
      <c r="Z236" s="19" t="s">
        <v>582</v>
      </c>
      <c r="AA236" s="19" t="s">
        <v>582</v>
      </c>
    </row>
    <row r="237" spans="1:27" ht="63" hidden="1">
      <c r="A237" s="8" t="s">
        <v>18</v>
      </c>
      <c r="B237" s="29" t="s">
        <v>274</v>
      </c>
      <c r="C237" s="8" t="s">
        <v>705</v>
      </c>
      <c r="D237" s="8" t="s">
        <v>706</v>
      </c>
      <c r="E237" s="8" t="s">
        <v>707</v>
      </c>
      <c r="F237" s="8" t="s">
        <v>2592</v>
      </c>
      <c r="G237" s="8" t="s">
        <v>62</v>
      </c>
      <c r="H237" s="8" t="s">
        <v>708</v>
      </c>
      <c r="I237" s="9">
        <v>1</v>
      </c>
      <c r="J237" s="8" t="s">
        <v>1191</v>
      </c>
      <c r="K237" s="8"/>
      <c r="L237" s="283"/>
      <c r="M237" s="8" t="s">
        <v>12</v>
      </c>
      <c r="N237" s="8"/>
      <c r="O237" s="281"/>
      <c r="P237" s="8"/>
      <c r="Q237" s="132"/>
      <c r="R237" s="38"/>
      <c r="S237" s="8"/>
      <c r="T237" s="8"/>
      <c r="U237" s="8"/>
      <c r="V237" s="8"/>
      <c r="W237" s="8"/>
      <c r="X237" s="8"/>
      <c r="Y237" s="8"/>
      <c r="Z237" s="8"/>
      <c r="AA237" s="8"/>
    </row>
    <row r="238" spans="1:27" ht="78.75" hidden="1">
      <c r="A238" s="8" t="s">
        <v>18</v>
      </c>
      <c r="B238" s="29" t="s">
        <v>274</v>
      </c>
      <c r="C238" s="8" t="s">
        <v>705</v>
      </c>
      <c r="D238" s="8" t="s">
        <v>709</v>
      </c>
      <c r="E238" s="8" t="s">
        <v>710</v>
      </c>
      <c r="F238" s="8" t="s">
        <v>2590</v>
      </c>
      <c r="G238" s="8" t="s">
        <v>62</v>
      </c>
      <c r="H238" s="8" t="s">
        <v>711</v>
      </c>
      <c r="I238" s="9">
        <v>1</v>
      </c>
      <c r="J238" s="8" t="s">
        <v>1090</v>
      </c>
      <c r="K238" s="14" t="s">
        <v>2602</v>
      </c>
      <c r="L238" s="283"/>
      <c r="M238" s="8"/>
      <c r="N238" s="8"/>
      <c r="O238" s="281"/>
      <c r="P238" s="8"/>
      <c r="Q238" s="132"/>
      <c r="R238" s="38"/>
      <c r="S238" s="8"/>
      <c r="T238" s="8"/>
      <c r="U238" s="8"/>
      <c r="V238" s="8"/>
      <c r="W238" s="8"/>
      <c r="X238" s="8"/>
      <c r="Y238" s="8"/>
      <c r="Z238" s="8"/>
      <c r="AA238" s="8"/>
    </row>
    <row r="239" spans="1:27" ht="78.75" hidden="1">
      <c r="A239" s="8" t="s">
        <v>18</v>
      </c>
      <c r="B239" s="29" t="s">
        <v>274</v>
      </c>
      <c r="C239" s="8" t="s">
        <v>705</v>
      </c>
      <c r="D239" s="8" t="s">
        <v>712</v>
      </c>
      <c r="E239" s="8" t="s">
        <v>713</v>
      </c>
      <c r="F239" s="8" t="s">
        <v>2592</v>
      </c>
      <c r="G239" s="8" t="s">
        <v>62</v>
      </c>
      <c r="H239" s="8" t="s">
        <v>714</v>
      </c>
      <c r="I239" s="9">
        <v>1</v>
      </c>
      <c r="J239" s="8" t="s">
        <v>1090</v>
      </c>
      <c r="K239" s="9" t="s">
        <v>2632</v>
      </c>
      <c r="L239" s="283"/>
      <c r="M239" s="8"/>
      <c r="N239" s="8"/>
      <c r="O239" s="281"/>
      <c r="P239" s="8"/>
      <c r="Q239" s="132"/>
      <c r="R239" s="38"/>
      <c r="S239" s="8"/>
      <c r="T239" s="8"/>
      <c r="U239" s="8"/>
      <c r="V239" s="8"/>
      <c r="W239" s="8"/>
      <c r="X239" s="8"/>
      <c r="Y239" s="8"/>
      <c r="Z239" s="8"/>
      <c r="AA239" s="8"/>
    </row>
    <row r="240" spans="1:27" ht="63" hidden="1">
      <c r="A240" s="8" t="s">
        <v>18</v>
      </c>
      <c r="B240" s="29" t="s">
        <v>587</v>
      </c>
      <c r="C240" s="8" t="s">
        <v>715</v>
      </c>
      <c r="D240" s="8" t="s">
        <v>716</v>
      </c>
      <c r="E240" s="8" t="s">
        <v>717</v>
      </c>
      <c r="F240" s="8" t="s">
        <v>2592</v>
      </c>
      <c r="G240" s="8" t="s">
        <v>62</v>
      </c>
      <c r="H240" s="8" t="s">
        <v>591</v>
      </c>
      <c r="I240" s="9">
        <v>1</v>
      </c>
      <c r="J240" s="8" t="s">
        <v>1090</v>
      </c>
      <c r="K240" s="8"/>
      <c r="L240" s="283"/>
      <c r="M240" s="8"/>
      <c r="N240" s="8"/>
      <c r="O240" s="281"/>
      <c r="P240" s="8"/>
      <c r="Q240" s="132"/>
      <c r="R240" s="38"/>
      <c r="S240" s="8"/>
      <c r="T240" s="8"/>
      <c r="U240" s="8"/>
      <c r="V240" s="8"/>
      <c r="W240" s="8"/>
      <c r="X240" s="8"/>
      <c r="Y240" s="8"/>
      <c r="Z240" s="8"/>
      <c r="AA240" s="8"/>
    </row>
    <row r="241" spans="1:27" ht="56.25" hidden="1">
      <c r="A241" s="8" t="s">
        <v>18</v>
      </c>
      <c r="B241" s="29" t="s">
        <v>587</v>
      </c>
      <c r="C241" s="8" t="s">
        <v>715</v>
      </c>
      <c r="D241" s="8" t="s">
        <v>718</v>
      </c>
      <c r="E241" s="8" t="s">
        <v>719</v>
      </c>
      <c r="F241" s="20"/>
      <c r="G241" s="20" t="s">
        <v>62</v>
      </c>
      <c r="H241" s="20" t="s">
        <v>352</v>
      </c>
      <c r="I241" s="22">
        <v>1</v>
      </c>
      <c r="J241" s="20"/>
      <c r="K241" s="20"/>
      <c r="L241" s="278"/>
      <c r="M241" s="20"/>
      <c r="N241" s="20"/>
      <c r="O241" s="279"/>
      <c r="P241" s="20"/>
      <c r="Q241" s="132"/>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t="s">
        <v>2592</v>
      </c>
      <c r="G242" s="8" t="s">
        <v>62</v>
      </c>
      <c r="H242" s="8" t="s">
        <v>352</v>
      </c>
      <c r="I242" s="9">
        <v>1</v>
      </c>
      <c r="J242" s="8" t="s">
        <v>1090</v>
      </c>
      <c r="K242" s="8"/>
      <c r="L242" s="283"/>
      <c r="M242" s="8"/>
      <c r="N242" s="8"/>
      <c r="O242" s="281"/>
      <c r="P242" s="8"/>
      <c r="Q242" s="132"/>
      <c r="R242" s="38"/>
      <c r="S242" s="8"/>
      <c r="T242" s="8"/>
      <c r="U242" s="8"/>
      <c r="V242" s="8"/>
      <c r="W242" s="8"/>
      <c r="X242" s="8"/>
      <c r="Y242" s="8"/>
      <c r="Z242" s="8"/>
      <c r="AA242" s="8"/>
    </row>
    <row r="243" spans="1:27" ht="56.25" hidden="1">
      <c r="A243" s="8" t="s">
        <v>18</v>
      </c>
      <c r="B243" s="29" t="s">
        <v>587</v>
      </c>
      <c r="C243" s="8" t="s">
        <v>715</v>
      </c>
      <c r="D243" s="8" t="s">
        <v>721</v>
      </c>
      <c r="E243" s="69" t="s">
        <v>722</v>
      </c>
      <c r="F243" s="8" t="s">
        <v>2592</v>
      </c>
      <c r="G243" s="8" t="s">
        <v>62</v>
      </c>
      <c r="H243" s="8" t="s">
        <v>352</v>
      </c>
      <c r="I243" s="9">
        <v>1</v>
      </c>
      <c r="J243" s="8" t="s">
        <v>1090</v>
      </c>
      <c r="K243" s="8"/>
      <c r="L243" s="283"/>
      <c r="M243" s="8"/>
      <c r="N243" s="8"/>
      <c r="O243" s="281"/>
      <c r="P243" s="8"/>
      <c r="Q243" s="132"/>
      <c r="R243" s="38"/>
      <c r="S243" s="8"/>
      <c r="T243" s="8"/>
      <c r="U243" s="8"/>
      <c r="V243" s="8"/>
      <c r="W243" s="8"/>
      <c r="X243" s="8"/>
      <c r="Y243" s="8"/>
      <c r="Z243" s="8"/>
      <c r="AA243" s="8"/>
    </row>
    <row r="244" spans="1:27" ht="56.25" hidden="1">
      <c r="A244" s="8" t="s">
        <v>18</v>
      </c>
      <c r="B244" s="29" t="s">
        <v>587</v>
      </c>
      <c r="C244" s="8" t="s">
        <v>715</v>
      </c>
      <c r="D244" s="8" t="s">
        <v>723</v>
      </c>
      <c r="E244" s="69" t="s">
        <v>596</v>
      </c>
      <c r="F244" s="8" t="s">
        <v>2592</v>
      </c>
      <c r="G244" s="8" t="s">
        <v>62</v>
      </c>
      <c r="H244" s="8" t="s">
        <v>352</v>
      </c>
      <c r="I244" s="9">
        <v>1</v>
      </c>
      <c r="J244" s="8" t="s">
        <v>1090</v>
      </c>
      <c r="K244" s="8"/>
      <c r="L244" s="283"/>
      <c r="M244" s="8"/>
      <c r="N244" s="8"/>
      <c r="O244" s="281"/>
      <c r="P244" s="8"/>
      <c r="Q244" s="132"/>
      <c r="R244" s="38"/>
      <c r="S244" s="8"/>
      <c r="T244" s="8"/>
      <c r="U244" s="8"/>
      <c r="V244" s="8"/>
      <c r="W244" s="8"/>
      <c r="X244" s="8"/>
      <c r="Y244" s="8"/>
      <c r="Z244" s="8"/>
      <c r="AA244" s="8"/>
    </row>
    <row r="245" spans="1:27" ht="56.25" hidden="1">
      <c r="A245" s="8" t="s">
        <v>18</v>
      </c>
      <c r="B245" s="29" t="s">
        <v>587</v>
      </c>
      <c r="C245" s="8" t="s">
        <v>715</v>
      </c>
      <c r="D245" s="8" t="s">
        <v>724</v>
      </c>
      <c r="E245" s="69" t="s">
        <v>597</v>
      </c>
      <c r="F245" s="8" t="s">
        <v>2592</v>
      </c>
      <c r="G245" s="8" t="s">
        <v>62</v>
      </c>
      <c r="H245" s="8" t="s">
        <v>352</v>
      </c>
      <c r="I245" s="9">
        <v>1</v>
      </c>
      <c r="J245" s="8" t="s">
        <v>1090</v>
      </c>
      <c r="K245" s="8"/>
      <c r="L245" s="283"/>
      <c r="M245" s="8"/>
      <c r="N245" s="8"/>
      <c r="O245" s="281"/>
      <c r="P245" s="8"/>
      <c r="Q245" s="132"/>
      <c r="R245" s="38"/>
      <c r="S245" s="8"/>
      <c r="T245" s="8"/>
      <c r="U245" s="8"/>
      <c r="V245" s="8"/>
      <c r="W245" s="8"/>
      <c r="X245" s="8"/>
      <c r="Y245" s="8"/>
      <c r="Z245" s="8"/>
      <c r="AA245" s="8"/>
    </row>
    <row r="246" spans="1:27" ht="56.25" hidden="1">
      <c r="A246" s="8" t="s">
        <v>18</v>
      </c>
      <c r="B246" s="29" t="s">
        <v>587</v>
      </c>
      <c r="C246" s="8" t="s">
        <v>715</v>
      </c>
      <c r="D246" s="8" t="s">
        <v>725</v>
      </c>
      <c r="E246" s="69" t="s">
        <v>599</v>
      </c>
      <c r="F246" s="8" t="s">
        <v>2592</v>
      </c>
      <c r="G246" s="8" t="s">
        <v>62</v>
      </c>
      <c r="H246" s="8" t="s">
        <v>352</v>
      </c>
      <c r="I246" s="9">
        <v>1</v>
      </c>
      <c r="J246" s="8" t="s">
        <v>1090</v>
      </c>
      <c r="K246" s="8"/>
      <c r="L246" s="283"/>
      <c r="M246" s="8"/>
      <c r="N246" s="8"/>
      <c r="O246" s="281"/>
      <c r="P246" s="8"/>
      <c r="Q246" s="132"/>
      <c r="R246" s="38"/>
      <c r="S246" s="8"/>
      <c r="T246" s="8"/>
      <c r="U246" s="8"/>
      <c r="V246" s="8"/>
      <c r="W246" s="8"/>
      <c r="X246" s="8"/>
      <c r="Y246" s="8"/>
      <c r="Z246" s="8"/>
      <c r="AA246" s="8"/>
    </row>
    <row r="247" spans="1:27" ht="56.25" hidden="1">
      <c r="A247" s="8" t="s">
        <v>18</v>
      </c>
      <c r="B247" s="29" t="s">
        <v>587</v>
      </c>
      <c r="C247" s="8" t="s">
        <v>715</v>
      </c>
      <c r="D247" s="8" t="s">
        <v>726</v>
      </c>
      <c r="E247" s="69" t="s">
        <v>727</v>
      </c>
      <c r="F247" s="8" t="s">
        <v>2592</v>
      </c>
      <c r="G247" s="8" t="s">
        <v>62</v>
      </c>
      <c r="H247" s="8" t="s">
        <v>352</v>
      </c>
      <c r="I247" s="9">
        <v>1</v>
      </c>
      <c r="J247" s="8" t="s">
        <v>1090</v>
      </c>
      <c r="K247" s="8"/>
      <c r="L247" s="283"/>
      <c r="M247" s="8"/>
      <c r="N247" s="8"/>
      <c r="O247" s="281"/>
      <c r="P247" s="8"/>
      <c r="Q247" s="132"/>
      <c r="R247" s="38"/>
      <c r="S247" s="8"/>
      <c r="T247" s="8"/>
      <c r="U247" s="8"/>
      <c r="V247" s="8"/>
      <c r="W247" s="8"/>
      <c r="X247" s="8"/>
      <c r="Y247" s="8"/>
      <c r="Z247" s="8"/>
      <c r="AA247" s="8"/>
    </row>
    <row r="248" spans="1:27" ht="56.25" hidden="1">
      <c r="A248" s="8" t="s">
        <v>18</v>
      </c>
      <c r="B248" s="29" t="s">
        <v>587</v>
      </c>
      <c r="C248" s="8" t="s">
        <v>715</v>
      </c>
      <c r="D248" s="8" t="s">
        <v>728</v>
      </c>
      <c r="E248" s="69" t="s">
        <v>729</v>
      </c>
      <c r="F248" s="8" t="s">
        <v>2592</v>
      </c>
      <c r="G248" s="8" t="s">
        <v>62</v>
      </c>
      <c r="H248" s="8" t="s">
        <v>352</v>
      </c>
      <c r="I248" s="9">
        <v>1</v>
      </c>
      <c r="J248" s="8" t="s">
        <v>1090</v>
      </c>
      <c r="K248" s="8"/>
      <c r="L248" s="283"/>
      <c r="M248" s="8"/>
      <c r="N248" s="8"/>
      <c r="O248" s="281"/>
      <c r="P248" s="8"/>
      <c r="Q248" s="132"/>
      <c r="R248" s="38"/>
      <c r="S248" s="8"/>
      <c r="T248" s="8"/>
      <c r="U248" s="8"/>
      <c r="V248" s="8"/>
      <c r="W248" s="8"/>
      <c r="X248" s="8"/>
      <c r="Y248" s="8"/>
      <c r="Z248" s="8"/>
      <c r="AA248" s="8"/>
    </row>
    <row r="249" spans="1:27" ht="56.25" hidden="1">
      <c r="A249" s="8" t="s">
        <v>18</v>
      </c>
      <c r="B249" s="29" t="s">
        <v>587</v>
      </c>
      <c r="C249" s="8" t="s">
        <v>715</v>
      </c>
      <c r="D249" s="8" t="s">
        <v>730</v>
      </c>
      <c r="E249" s="69" t="s">
        <v>731</v>
      </c>
      <c r="F249" s="8" t="s">
        <v>2592</v>
      </c>
      <c r="G249" s="8" t="s">
        <v>62</v>
      </c>
      <c r="H249" s="8" t="s">
        <v>352</v>
      </c>
      <c r="I249" s="9">
        <v>1</v>
      </c>
      <c r="J249" s="8" t="s">
        <v>1090</v>
      </c>
      <c r="K249" s="8"/>
      <c r="L249" s="283"/>
      <c r="M249" s="8"/>
      <c r="N249" s="8"/>
      <c r="O249" s="281"/>
      <c r="P249" s="8"/>
      <c r="Q249" s="132"/>
      <c r="R249" s="38"/>
      <c r="S249" s="8"/>
      <c r="T249" s="8"/>
      <c r="U249" s="8"/>
      <c r="V249" s="8"/>
      <c r="W249" s="8"/>
      <c r="X249" s="8"/>
      <c r="Y249" s="8"/>
      <c r="Z249" s="8"/>
      <c r="AA249" s="8"/>
    </row>
    <row r="250" spans="1:27" ht="63" hidden="1">
      <c r="A250" s="8" t="s">
        <v>18</v>
      </c>
      <c r="B250" s="29" t="s">
        <v>587</v>
      </c>
      <c r="C250" s="8" t="s">
        <v>732</v>
      </c>
      <c r="D250" s="8" t="s">
        <v>733</v>
      </c>
      <c r="E250" s="8" t="s">
        <v>734</v>
      </c>
      <c r="F250" s="8"/>
      <c r="G250" s="8" t="s">
        <v>71</v>
      </c>
      <c r="H250" s="8" t="s">
        <v>735</v>
      </c>
      <c r="I250" s="9">
        <v>1</v>
      </c>
      <c r="J250" s="8"/>
      <c r="K250" s="8"/>
      <c r="L250" s="283"/>
      <c r="M250" s="8"/>
      <c r="N250" s="8"/>
      <c r="O250" s="281"/>
      <c r="P250" s="8"/>
      <c r="Q250" s="132"/>
      <c r="R250" s="38"/>
      <c r="S250" s="8"/>
      <c r="T250" s="8"/>
      <c r="U250" s="8"/>
      <c r="V250" s="8"/>
      <c r="W250" s="8"/>
      <c r="X250" s="8"/>
      <c r="Y250" s="8"/>
      <c r="Z250" s="8"/>
      <c r="AA250" s="8"/>
    </row>
    <row r="251" spans="1:27" ht="63" hidden="1">
      <c r="A251" s="8" t="s">
        <v>18</v>
      </c>
      <c r="B251" s="29" t="s">
        <v>587</v>
      </c>
      <c r="C251" s="8" t="s">
        <v>732</v>
      </c>
      <c r="D251" s="8" t="s">
        <v>736</v>
      </c>
      <c r="E251" s="8" t="s">
        <v>734</v>
      </c>
      <c r="F251" s="8" t="s">
        <v>2592</v>
      </c>
      <c r="G251" s="8" t="s">
        <v>58</v>
      </c>
      <c r="H251" s="8" t="s">
        <v>428</v>
      </c>
      <c r="I251" s="9">
        <v>1</v>
      </c>
      <c r="J251" s="8" t="s">
        <v>1090</v>
      </c>
      <c r="K251" s="8"/>
      <c r="L251" s="283"/>
      <c r="M251" s="8"/>
      <c r="N251" s="8"/>
      <c r="O251" s="281"/>
      <c r="P251" s="8"/>
      <c r="Q251" s="132"/>
      <c r="R251" s="38"/>
      <c r="S251" s="8"/>
      <c r="T251" s="8"/>
      <c r="U251" s="8"/>
      <c r="V251" s="8"/>
      <c r="W251" s="8"/>
      <c r="X251" s="8"/>
      <c r="Y251" s="8"/>
      <c r="Z251" s="8"/>
      <c r="AA251" s="8"/>
    </row>
    <row r="252" spans="1:27" ht="78.75" hidden="1">
      <c r="A252" s="8" t="s">
        <v>18</v>
      </c>
      <c r="B252" s="29" t="s">
        <v>587</v>
      </c>
      <c r="C252" s="8" t="s">
        <v>737</v>
      </c>
      <c r="D252" s="8" t="s">
        <v>738</v>
      </c>
      <c r="E252" s="8" t="s">
        <v>739</v>
      </c>
      <c r="F252" s="8" t="s">
        <v>2592</v>
      </c>
      <c r="G252" s="8" t="s">
        <v>62</v>
      </c>
      <c r="H252" s="8" t="s">
        <v>623</v>
      </c>
      <c r="I252" s="9">
        <v>1</v>
      </c>
      <c r="J252" s="8" t="s">
        <v>1090</v>
      </c>
      <c r="K252" s="8"/>
      <c r="L252" s="283"/>
      <c r="M252" s="8"/>
      <c r="N252" s="8"/>
      <c r="O252" s="281"/>
      <c r="P252" s="8"/>
      <c r="Q252" s="132"/>
      <c r="R252" s="38"/>
      <c r="S252" s="8"/>
      <c r="T252" s="8"/>
      <c r="U252" s="8"/>
      <c r="V252" s="8"/>
      <c r="W252" s="8"/>
      <c r="X252" s="8"/>
      <c r="Y252" s="8"/>
      <c r="Z252" s="8"/>
      <c r="AA252" s="8"/>
    </row>
    <row r="253" spans="1:27" ht="78.75" hidden="1">
      <c r="A253" s="8" t="s">
        <v>18</v>
      </c>
      <c r="B253" s="29" t="s">
        <v>587</v>
      </c>
      <c r="C253" s="8" t="s">
        <v>737</v>
      </c>
      <c r="D253" s="8" t="s">
        <v>740</v>
      </c>
      <c r="E253" s="8" t="s">
        <v>741</v>
      </c>
      <c r="F253" s="8" t="s">
        <v>2592</v>
      </c>
      <c r="G253" s="8" t="s">
        <v>62</v>
      </c>
      <c r="H253" s="8" t="s">
        <v>742</v>
      </c>
      <c r="I253" s="9">
        <v>1</v>
      </c>
      <c r="J253" s="8" t="s">
        <v>1090</v>
      </c>
      <c r="K253" s="8"/>
      <c r="L253" s="283"/>
      <c r="M253" s="8"/>
      <c r="N253" s="8"/>
      <c r="O253" s="281"/>
      <c r="P253" s="8"/>
      <c r="Q253" s="132"/>
      <c r="R253" s="38"/>
      <c r="S253" s="8"/>
      <c r="T253" s="8"/>
      <c r="U253" s="8"/>
      <c r="V253" s="8"/>
      <c r="W253" s="8"/>
      <c r="X253" s="8"/>
      <c r="Y253" s="8"/>
      <c r="Z253" s="8"/>
      <c r="AA253" s="8"/>
    </row>
    <row r="254" spans="1:27" ht="78.75" hidden="1">
      <c r="A254" s="8" t="s">
        <v>18</v>
      </c>
      <c r="B254" s="29" t="s">
        <v>587</v>
      </c>
      <c r="C254" s="8" t="s">
        <v>737</v>
      </c>
      <c r="D254" s="8" t="s">
        <v>743</v>
      </c>
      <c r="E254" s="8" t="s">
        <v>744</v>
      </c>
      <c r="F254" s="8" t="s">
        <v>2592</v>
      </c>
      <c r="G254" s="8" t="s">
        <v>62</v>
      </c>
      <c r="H254" s="8" t="s">
        <v>745</v>
      </c>
      <c r="I254" s="9">
        <v>0.5</v>
      </c>
      <c r="J254" s="8" t="s">
        <v>1090</v>
      </c>
      <c r="K254" s="8" t="s">
        <v>2633</v>
      </c>
      <c r="L254" s="283"/>
      <c r="M254" s="8"/>
      <c r="N254" s="8"/>
      <c r="O254" s="281"/>
      <c r="P254" s="8"/>
      <c r="Q254" s="132"/>
      <c r="R254" s="38"/>
      <c r="S254" s="8"/>
      <c r="T254" s="8"/>
      <c r="U254" s="8"/>
      <c r="V254" s="8"/>
      <c r="W254" s="8"/>
      <c r="X254" s="8"/>
      <c r="Y254" s="8"/>
      <c r="Z254" s="8"/>
      <c r="AA254" s="8"/>
    </row>
    <row r="255" spans="1:27" ht="78.75" hidden="1">
      <c r="A255" s="8" t="s">
        <v>18</v>
      </c>
      <c r="B255" s="29" t="s">
        <v>587</v>
      </c>
      <c r="C255" s="8" t="s">
        <v>746</v>
      </c>
      <c r="D255" s="8" t="s">
        <v>747</v>
      </c>
      <c r="E255" s="8" t="s">
        <v>748</v>
      </c>
      <c r="F255" s="8" t="s">
        <v>2592</v>
      </c>
      <c r="G255" s="8" t="s">
        <v>62</v>
      </c>
      <c r="H255" s="8" t="s">
        <v>749</v>
      </c>
      <c r="I255" s="9">
        <v>0.5</v>
      </c>
      <c r="J255" s="8" t="s">
        <v>1090</v>
      </c>
      <c r="K255" s="8"/>
      <c r="L255" s="283"/>
      <c r="M255" s="8"/>
      <c r="N255" s="8"/>
      <c r="O255" s="281"/>
      <c r="P255" s="8"/>
      <c r="Q255" s="132"/>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20"/>
      <c r="G257" s="20" t="s">
        <v>62</v>
      </c>
      <c r="H257" s="20" t="s">
        <v>754</v>
      </c>
      <c r="I257" s="22" t="s">
        <v>485</v>
      </c>
      <c r="J257" s="20"/>
      <c r="K257" s="20"/>
      <c r="L257" s="278"/>
      <c r="M257" s="20"/>
      <c r="N257" s="20"/>
      <c r="O257" s="279"/>
      <c r="P257" s="20"/>
      <c r="Q257" s="132"/>
      <c r="R257" s="39"/>
      <c r="S257" s="20"/>
      <c r="T257" s="20"/>
      <c r="U257" s="20"/>
      <c r="V257" s="20"/>
      <c r="W257" s="20"/>
      <c r="X257" s="20"/>
      <c r="Y257" s="20"/>
      <c r="Z257" s="20"/>
      <c r="AA257" s="20"/>
    </row>
    <row r="258" spans="1:27" ht="63" hidden="1">
      <c r="A258" s="8" t="s">
        <v>20</v>
      </c>
      <c r="B258" s="31" t="s">
        <v>54</v>
      </c>
      <c r="C258" s="18" t="s">
        <v>751</v>
      </c>
      <c r="D258" s="18" t="s">
        <v>755</v>
      </c>
      <c r="E258" s="69" t="s">
        <v>756</v>
      </c>
      <c r="F258" s="8" t="s">
        <v>2590</v>
      </c>
      <c r="G258" s="18" t="s">
        <v>62</v>
      </c>
      <c r="H258" s="18" t="s">
        <v>754</v>
      </c>
      <c r="I258" s="18" t="s">
        <v>485</v>
      </c>
      <c r="J258" s="8" t="s">
        <v>8</v>
      </c>
      <c r="K258" s="8"/>
      <c r="L258" s="283"/>
      <c r="M258" s="8" t="s">
        <v>9</v>
      </c>
      <c r="N258" s="8" t="s">
        <v>2595</v>
      </c>
      <c r="O258" s="281"/>
      <c r="P258" s="8"/>
      <c r="Q258" s="132"/>
      <c r="R258" s="38"/>
      <c r="S258" s="8"/>
      <c r="T258" s="8"/>
      <c r="U258" s="8"/>
      <c r="V258" s="8"/>
      <c r="W258" s="8"/>
      <c r="X258" s="8"/>
      <c r="Y258" s="8"/>
      <c r="Z258" s="8"/>
      <c r="AA258" s="8"/>
    </row>
    <row r="259" spans="1:27" ht="78.75" hidden="1">
      <c r="A259" s="8" t="s">
        <v>20</v>
      </c>
      <c r="B259" s="31" t="s">
        <v>54</v>
      </c>
      <c r="C259" s="18" t="s">
        <v>751</v>
      </c>
      <c r="D259" s="18" t="s">
        <v>757</v>
      </c>
      <c r="E259" s="69" t="s">
        <v>758</v>
      </c>
      <c r="F259" s="8" t="s">
        <v>2592</v>
      </c>
      <c r="G259" s="18" t="s">
        <v>62</v>
      </c>
      <c r="H259" s="18" t="s">
        <v>754</v>
      </c>
      <c r="I259" s="18" t="s">
        <v>485</v>
      </c>
      <c r="J259" s="8" t="s">
        <v>8</v>
      </c>
      <c r="K259" s="8"/>
      <c r="L259" s="283"/>
      <c r="M259" s="8"/>
      <c r="N259" s="8"/>
      <c r="O259" s="281"/>
      <c r="P259" s="8"/>
      <c r="Q259" s="132"/>
      <c r="R259" s="38"/>
      <c r="S259" s="8"/>
      <c r="T259" s="8"/>
      <c r="U259" s="8"/>
      <c r="V259" s="8"/>
      <c r="W259" s="8"/>
      <c r="X259" s="8"/>
      <c r="Y259" s="8"/>
      <c r="Z259" s="8"/>
      <c r="AA259" s="8"/>
    </row>
    <row r="260" spans="1:27" ht="63" hidden="1">
      <c r="A260" s="8" t="s">
        <v>20</v>
      </c>
      <c r="B260" s="31" t="s">
        <v>54</v>
      </c>
      <c r="C260" s="18" t="s">
        <v>751</v>
      </c>
      <c r="D260" s="18" t="s">
        <v>759</v>
      </c>
      <c r="E260" s="69" t="s">
        <v>760</v>
      </c>
      <c r="F260" s="8" t="s">
        <v>2592</v>
      </c>
      <c r="G260" s="18" t="s">
        <v>62</v>
      </c>
      <c r="H260" s="18" t="s">
        <v>754</v>
      </c>
      <c r="I260" s="18" t="s">
        <v>485</v>
      </c>
      <c r="J260" s="8" t="s">
        <v>8</v>
      </c>
      <c r="K260" s="8"/>
      <c r="L260" s="283"/>
      <c r="M260" s="8" t="s">
        <v>9</v>
      </c>
      <c r="N260" s="8" t="s">
        <v>2595</v>
      </c>
      <c r="O260" s="281"/>
      <c r="P260" s="8"/>
      <c r="Q260" s="132"/>
      <c r="R260" s="38"/>
      <c r="S260" s="8"/>
      <c r="T260" s="8"/>
      <c r="U260" s="8"/>
      <c r="V260" s="8"/>
      <c r="W260" s="8"/>
      <c r="X260" s="8"/>
      <c r="Y260" s="8"/>
      <c r="Z260" s="8"/>
      <c r="AA260" s="8"/>
    </row>
    <row r="261" spans="1:27" ht="63" hidden="1">
      <c r="A261" s="8" t="s">
        <v>20</v>
      </c>
      <c r="B261" s="31" t="s">
        <v>54</v>
      </c>
      <c r="C261" s="18" t="s">
        <v>751</v>
      </c>
      <c r="D261" s="18" t="s">
        <v>761</v>
      </c>
      <c r="E261" s="69" t="s">
        <v>762</v>
      </c>
      <c r="F261" s="8" t="s">
        <v>2592</v>
      </c>
      <c r="G261" s="18" t="s">
        <v>62</v>
      </c>
      <c r="H261" s="18" t="s">
        <v>754</v>
      </c>
      <c r="I261" s="18" t="s">
        <v>485</v>
      </c>
      <c r="J261" s="8" t="s">
        <v>1090</v>
      </c>
      <c r="K261" s="8"/>
      <c r="L261" s="283"/>
      <c r="M261" s="8"/>
      <c r="N261" s="8"/>
      <c r="O261" s="281"/>
      <c r="P261" s="8"/>
      <c r="Q261" s="132"/>
      <c r="R261" s="38"/>
      <c r="S261" s="8"/>
      <c r="T261" s="8"/>
      <c r="U261" s="8"/>
      <c r="V261" s="8"/>
      <c r="W261" s="8"/>
      <c r="X261" s="8"/>
      <c r="Y261" s="8"/>
      <c r="Z261" s="8"/>
      <c r="AA261" s="8"/>
    </row>
    <row r="262" spans="1:27" ht="63" hidden="1">
      <c r="A262" s="8" t="s">
        <v>20</v>
      </c>
      <c r="B262" s="31" t="s">
        <v>54</v>
      </c>
      <c r="C262" s="18" t="s">
        <v>751</v>
      </c>
      <c r="D262" s="18" t="s">
        <v>763</v>
      </c>
      <c r="E262" s="69" t="s">
        <v>764</v>
      </c>
      <c r="F262" s="8" t="s">
        <v>2592</v>
      </c>
      <c r="G262" s="18" t="s">
        <v>62</v>
      </c>
      <c r="H262" s="18" t="s">
        <v>754</v>
      </c>
      <c r="I262" s="18" t="s">
        <v>485</v>
      </c>
      <c r="J262" s="8" t="s">
        <v>8</v>
      </c>
      <c r="K262" s="8"/>
      <c r="L262" s="283"/>
      <c r="M262" s="8" t="s">
        <v>9</v>
      </c>
      <c r="N262" s="8" t="s">
        <v>2595</v>
      </c>
      <c r="O262" s="281"/>
      <c r="P262" s="8"/>
      <c r="Q262" s="132"/>
      <c r="R262" s="38"/>
      <c r="S262" s="8"/>
      <c r="T262" s="8"/>
      <c r="U262" s="8"/>
      <c r="V262" s="8"/>
      <c r="W262" s="8"/>
      <c r="X262" s="8"/>
      <c r="Y262" s="8"/>
      <c r="Z262" s="8"/>
      <c r="AA262" s="8"/>
    </row>
    <row r="263" spans="1:27" ht="63" hidden="1">
      <c r="A263" s="8" t="s">
        <v>20</v>
      </c>
      <c r="B263" s="31" t="s">
        <v>54</v>
      </c>
      <c r="C263" s="18" t="s">
        <v>751</v>
      </c>
      <c r="D263" s="18" t="s">
        <v>765</v>
      </c>
      <c r="E263" s="69" t="s">
        <v>766</v>
      </c>
      <c r="F263" s="8" t="s">
        <v>2592</v>
      </c>
      <c r="G263" s="18" t="s">
        <v>62</v>
      </c>
      <c r="H263" s="18" t="s">
        <v>754</v>
      </c>
      <c r="I263" s="18" t="s">
        <v>485</v>
      </c>
      <c r="J263" s="8" t="s">
        <v>1090</v>
      </c>
      <c r="K263" s="8"/>
      <c r="L263" s="283"/>
      <c r="M263" s="8"/>
      <c r="N263" s="8"/>
      <c r="O263" s="281"/>
      <c r="P263" s="8"/>
      <c r="Q263" s="132"/>
      <c r="R263" s="38"/>
      <c r="S263" s="8"/>
      <c r="T263" s="8"/>
      <c r="U263" s="8"/>
      <c r="V263" s="8"/>
      <c r="W263" s="8"/>
      <c r="X263" s="8"/>
      <c r="Y263" s="8"/>
      <c r="Z263" s="8"/>
      <c r="AA263" s="8"/>
    </row>
    <row r="264" spans="1:27" ht="63" hidden="1">
      <c r="A264" s="8" t="s">
        <v>20</v>
      </c>
      <c r="B264" s="31" t="s">
        <v>54</v>
      </c>
      <c r="C264" s="18" t="s">
        <v>751</v>
      </c>
      <c r="D264" s="18" t="s">
        <v>767</v>
      </c>
      <c r="E264" s="69" t="s">
        <v>768</v>
      </c>
      <c r="F264" s="8" t="s">
        <v>2592</v>
      </c>
      <c r="G264" s="18" t="s">
        <v>62</v>
      </c>
      <c r="H264" s="18" t="s">
        <v>754</v>
      </c>
      <c r="I264" s="18" t="s">
        <v>485</v>
      </c>
      <c r="J264" s="8" t="s">
        <v>1090</v>
      </c>
      <c r="K264" s="8"/>
      <c r="L264" s="283"/>
      <c r="M264" s="8"/>
      <c r="N264" s="8"/>
      <c r="O264" s="281"/>
      <c r="P264" s="8"/>
      <c r="Q264" s="132"/>
      <c r="R264" s="38"/>
      <c r="S264" s="8"/>
      <c r="T264" s="8"/>
      <c r="U264" s="8"/>
      <c r="V264" s="8"/>
      <c r="W264" s="8"/>
      <c r="X264" s="8"/>
      <c r="Y264" s="8"/>
      <c r="Z264" s="8"/>
      <c r="AA264" s="8"/>
    </row>
    <row r="265" spans="1:27" ht="63" hidden="1">
      <c r="A265" s="8" t="s">
        <v>20</v>
      </c>
      <c r="B265" s="31" t="s">
        <v>54</v>
      </c>
      <c r="C265" s="18" t="s">
        <v>751</v>
      </c>
      <c r="D265" s="18" t="s">
        <v>769</v>
      </c>
      <c r="E265" s="69" t="s">
        <v>770</v>
      </c>
      <c r="F265" s="8" t="s">
        <v>2592</v>
      </c>
      <c r="G265" s="18" t="s">
        <v>62</v>
      </c>
      <c r="H265" s="18" t="s">
        <v>754</v>
      </c>
      <c r="I265" s="18" t="s">
        <v>485</v>
      </c>
      <c r="J265" s="8" t="s">
        <v>1090</v>
      </c>
      <c r="K265" s="8" t="s">
        <v>2634</v>
      </c>
      <c r="L265" s="283"/>
      <c r="M265" s="8"/>
      <c r="N265" s="8"/>
      <c r="O265" s="281"/>
      <c r="P265" s="8"/>
      <c r="Q265" s="132"/>
      <c r="R265" s="38"/>
      <c r="S265" s="8"/>
      <c r="T265" s="8"/>
      <c r="U265" s="8"/>
      <c r="V265" s="8"/>
      <c r="W265" s="8"/>
      <c r="X265" s="8"/>
      <c r="Y265" s="8"/>
      <c r="Z265" s="8"/>
      <c r="AA265" s="8"/>
    </row>
    <row r="266" spans="1:27" ht="47.25" hidden="1">
      <c r="A266" s="8" t="s">
        <v>20</v>
      </c>
      <c r="B266" s="31" t="s">
        <v>54</v>
      </c>
      <c r="C266" s="18" t="s">
        <v>751</v>
      </c>
      <c r="D266" s="18" t="s">
        <v>771</v>
      </c>
      <c r="E266" s="18" t="s">
        <v>772</v>
      </c>
      <c r="F266" s="8" t="s">
        <v>2592</v>
      </c>
      <c r="G266" s="18" t="s">
        <v>62</v>
      </c>
      <c r="H266" s="18" t="s">
        <v>773</v>
      </c>
      <c r="I266" s="18" t="s">
        <v>139</v>
      </c>
      <c r="J266" s="8" t="s">
        <v>1090</v>
      </c>
      <c r="K266" s="8"/>
      <c r="L266" s="283"/>
      <c r="M266" s="8"/>
      <c r="N266" s="8"/>
      <c r="O266" s="281"/>
      <c r="P266" s="8"/>
      <c r="Q266" s="132"/>
      <c r="R266" s="38"/>
      <c r="S266" s="8"/>
      <c r="T266" s="8"/>
      <c r="U266" s="8"/>
      <c r="V266" s="8"/>
      <c r="W266" s="8"/>
      <c r="X266" s="8"/>
      <c r="Y266" s="8"/>
      <c r="Z266" s="8"/>
      <c r="AA266" s="8"/>
    </row>
    <row r="267" spans="1:27" ht="173.25" hidden="1">
      <c r="A267" s="8" t="s">
        <v>20</v>
      </c>
      <c r="B267" s="31" t="s">
        <v>54</v>
      </c>
      <c r="C267" s="8" t="s">
        <v>774</v>
      </c>
      <c r="D267" s="8" t="s">
        <v>775</v>
      </c>
      <c r="E267" s="8" t="s">
        <v>776</v>
      </c>
      <c r="F267" s="8" t="s">
        <v>2592</v>
      </c>
      <c r="G267" s="8" t="s">
        <v>62</v>
      </c>
      <c r="H267" s="8" t="s">
        <v>777</v>
      </c>
      <c r="I267" s="8" t="s">
        <v>494</v>
      </c>
      <c r="J267" s="8" t="s">
        <v>1090</v>
      </c>
      <c r="K267" s="8"/>
      <c r="L267" s="283"/>
      <c r="M267" s="8"/>
      <c r="N267" s="8"/>
      <c r="O267" s="281"/>
      <c r="P267" s="8"/>
      <c r="Q267" s="132"/>
      <c r="R267" s="38"/>
      <c r="S267" s="8"/>
      <c r="T267" s="8"/>
      <c r="U267" s="8"/>
      <c r="V267" s="8"/>
      <c r="W267" s="8"/>
      <c r="X267" s="8"/>
      <c r="Y267" s="8"/>
      <c r="Z267" s="8"/>
      <c r="AA267" s="8"/>
    </row>
    <row r="268" spans="1:27" ht="63" hidden="1">
      <c r="A268" s="8" t="s">
        <v>20</v>
      </c>
      <c r="B268" s="31" t="s">
        <v>54</v>
      </c>
      <c r="C268" s="8" t="s">
        <v>774</v>
      </c>
      <c r="D268" s="8" t="s">
        <v>778</v>
      </c>
      <c r="E268" s="8" t="s">
        <v>779</v>
      </c>
      <c r="F268" s="8" t="s">
        <v>2592</v>
      </c>
      <c r="G268" s="8" t="s">
        <v>62</v>
      </c>
      <c r="H268" s="8" t="s">
        <v>780</v>
      </c>
      <c r="I268" s="8">
        <v>5</v>
      </c>
      <c r="J268" s="8" t="s">
        <v>8</v>
      </c>
      <c r="K268" s="8" t="s">
        <v>2635</v>
      </c>
      <c r="L268" s="283"/>
      <c r="M268" s="8"/>
      <c r="N268" s="8"/>
      <c r="O268" s="281"/>
      <c r="P268" s="8"/>
      <c r="Q268" s="132"/>
      <c r="R268" s="38"/>
      <c r="S268" s="8"/>
      <c r="T268" s="8"/>
      <c r="U268" s="8"/>
      <c r="V268" s="8"/>
      <c r="W268" s="8"/>
      <c r="X268" s="8"/>
      <c r="Y268" s="8"/>
      <c r="Z268" s="8"/>
      <c r="AA268" s="8"/>
    </row>
    <row r="269" spans="1:27" ht="63" hidden="1">
      <c r="A269" s="8" t="s">
        <v>20</v>
      </c>
      <c r="B269" s="31" t="s">
        <v>54</v>
      </c>
      <c r="C269" s="8" t="s">
        <v>774</v>
      </c>
      <c r="D269" s="8" t="s">
        <v>781</v>
      </c>
      <c r="E269" s="8" t="s">
        <v>782</v>
      </c>
      <c r="F269" s="8" t="s">
        <v>2590</v>
      </c>
      <c r="G269" s="8" t="s">
        <v>62</v>
      </c>
      <c r="H269" s="8" t="s">
        <v>783</v>
      </c>
      <c r="I269" s="9">
        <v>0.5</v>
      </c>
      <c r="J269" s="8" t="s">
        <v>8</v>
      </c>
      <c r="K269" s="8"/>
      <c r="L269" s="283"/>
      <c r="M269" s="8" t="s">
        <v>10</v>
      </c>
      <c r="N269" s="8"/>
      <c r="O269" s="281"/>
      <c r="P269" s="8"/>
      <c r="Q269" s="132"/>
      <c r="R269" s="38"/>
      <c r="S269" s="8"/>
      <c r="T269" s="8"/>
      <c r="U269" s="8"/>
      <c r="V269" s="8"/>
      <c r="W269" s="8"/>
      <c r="X269" s="8"/>
      <c r="Y269" s="8"/>
      <c r="Z269" s="8"/>
      <c r="AA269" s="8"/>
    </row>
    <row r="270" spans="1:27" ht="94.5" hidden="1">
      <c r="A270" s="8" t="s">
        <v>20</v>
      </c>
      <c r="B270" s="31" t="s">
        <v>54</v>
      </c>
      <c r="C270" s="8" t="s">
        <v>774</v>
      </c>
      <c r="D270" s="8" t="s">
        <v>784</v>
      </c>
      <c r="E270" s="8" t="s">
        <v>785</v>
      </c>
      <c r="F270" s="8" t="s">
        <v>2590</v>
      </c>
      <c r="G270" s="8" t="s">
        <v>62</v>
      </c>
      <c r="H270" s="8" t="s">
        <v>786</v>
      </c>
      <c r="I270" s="8" t="s">
        <v>214</v>
      </c>
      <c r="J270" s="8" t="s">
        <v>8</v>
      </c>
      <c r="K270" s="8"/>
      <c r="L270" s="283"/>
      <c r="M270" s="8" t="s">
        <v>10</v>
      </c>
      <c r="N270" s="8"/>
      <c r="O270" s="281"/>
      <c r="P270" s="8"/>
      <c r="Q270" s="132"/>
      <c r="R270" s="38"/>
      <c r="S270" s="8"/>
      <c r="T270" s="8"/>
      <c r="U270" s="8"/>
      <c r="V270" s="8"/>
      <c r="W270" s="8"/>
      <c r="X270" s="8"/>
      <c r="Y270" s="8"/>
      <c r="Z270" s="8"/>
      <c r="AA270" s="8"/>
    </row>
    <row r="271" spans="1:27" ht="78.75" hidden="1">
      <c r="A271" s="8" t="s">
        <v>20</v>
      </c>
      <c r="B271" s="31" t="s">
        <v>54</v>
      </c>
      <c r="C271" s="8" t="s">
        <v>774</v>
      </c>
      <c r="D271" s="8" t="s">
        <v>787</v>
      </c>
      <c r="E271" s="8" t="s">
        <v>788</v>
      </c>
      <c r="F271" s="8" t="s">
        <v>2592</v>
      </c>
      <c r="G271" s="8" t="s">
        <v>62</v>
      </c>
      <c r="H271" s="8" t="s">
        <v>789</v>
      </c>
      <c r="I271" s="9">
        <v>1</v>
      </c>
      <c r="J271" s="8" t="s">
        <v>1090</v>
      </c>
      <c r="K271" s="9" t="s">
        <v>2632</v>
      </c>
      <c r="L271" s="283"/>
      <c r="M271" s="8"/>
      <c r="N271" s="8"/>
      <c r="O271" s="281"/>
      <c r="P271" s="8"/>
      <c r="Q271" s="132"/>
      <c r="R271" s="38"/>
      <c r="S271" s="8"/>
      <c r="T271" s="8"/>
      <c r="U271" s="8"/>
      <c r="V271" s="8"/>
      <c r="W271" s="8"/>
      <c r="X271" s="8"/>
      <c r="Y271" s="8"/>
      <c r="Z271" s="8"/>
      <c r="AA271" s="8"/>
    </row>
    <row r="272" spans="1:27" ht="63" hidden="1">
      <c r="A272" s="8" t="s">
        <v>20</v>
      </c>
      <c r="B272" s="31" t="s">
        <v>54</v>
      </c>
      <c r="C272" s="8" t="s">
        <v>774</v>
      </c>
      <c r="D272" s="8" t="s">
        <v>790</v>
      </c>
      <c r="E272" s="8" t="s">
        <v>791</v>
      </c>
      <c r="F272" s="8" t="s">
        <v>2592</v>
      </c>
      <c r="G272" s="8" t="s">
        <v>62</v>
      </c>
      <c r="H272" s="8" t="s">
        <v>789</v>
      </c>
      <c r="I272" s="9">
        <v>1</v>
      </c>
      <c r="J272" s="8" t="s">
        <v>8</v>
      </c>
      <c r="K272" s="8"/>
      <c r="L272" s="283"/>
      <c r="M272" s="8" t="s">
        <v>10</v>
      </c>
      <c r="N272" s="8"/>
      <c r="O272" s="281"/>
      <c r="P272" s="8"/>
      <c r="Q272" s="132"/>
      <c r="R272" s="38"/>
      <c r="S272" s="8"/>
      <c r="T272" s="8"/>
      <c r="U272" s="8"/>
      <c r="V272" s="8"/>
      <c r="W272" s="8"/>
      <c r="X272" s="8"/>
      <c r="Y272" s="8"/>
      <c r="Z272" s="8"/>
      <c r="AA272" s="8"/>
    </row>
    <row r="273" spans="1:27" ht="31.5" hidden="1">
      <c r="A273" s="20" t="s">
        <v>20</v>
      </c>
      <c r="B273" s="32" t="s">
        <v>54</v>
      </c>
      <c r="C273" s="19" t="s">
        <v>792</v>
      </c>
      <c r="D273" s="19" t="s">
        <v>582</v>
      </c>
      <c r="E273" s="19" t="s">
        <v>582</v>
      </c>
      <c r="F273" s="19" t="s">
        <v>582</v>
      </c>
      <c r="G273" s="19" t="s">
        <v>582</v>
      </c>
      <c r="H273" s="19" t="s">
        <v>582</v>
      </c>
      <c r="I273" s="19" t="s">
        <v>582</v>
      </c>
      <c r="J273" s="19" t="s">
        <v>582</v>
      </c>
      <c r="K273" s="19" t="s">
        <v>582</v>
      </c>
      <c r="L273" s="19" t="s">
        <v>582</v>
      </c>
      <c r="M273" s="19" t="s">
        <v>582</v>
      </c>
      <c r="N273" s="19" t="s">
        <v>582</v>
      </c>
      <c r="O273" s="19" t="s">
        <v>582</v>
      </c>
      <c r="P273" s="19" t="s">
        <v>582</v>
      </c>
      <c r="Q273" s="48"/>
      <c r="R273" s="44" t="s">
        <v>582</v>
      </c>
      <c r="S273" s="19" t="s">
        <v>582</v>
      </c>
      <c r="T273" s="19" t="s">
        <v>582</v>
      </c>
      <c r="U273" s="19"/>
      <c r="V273" s="19" t="s">
        <v>582</v>
      </c>
      <c r="W273" s="19" t="s">
        <v>582</v>
      </c>
      <c r="X273" s="19" t="s">
        <v>582</v>
      </c>
      <c r="Y273" s="19" t="s">
        <v>582</v>
      </c>
      <c r="Z273" s="19" t="s">
        <v>582</v>
      </c>
      <c r="AA273" s="19" t="s">
        <v>582</v>
      </c>
    </row>
    <row r="274" spans="1:27" ht="78.75" hidden="1">
      <c r="A274" s="8" t="s">
        <v>20</v>
      </c>
      <c r="B274" s="29" t="s">
        <v>195</v>
      </c>
      <c r="C274" s="8" t="s">
        <v>793</v>
      </c>
      <c r="D274" s="8" t="s">
        <v>794</v>
      </c>
      <c r="E274" s="8" t="s">
        <v>795</v>
      </c>
      <c r="F274" s="8" t="s">
        <v>2592</v>
      </c>
      <c r="G274" s="8" t="s">
        <v>62</v>
      </c>
      <c r="H274" s="8" t="s">
        <v>796</v>
      </c>
      <c r="I274" s="9">
        <v>1</v>
      </c>
      <c r="J274" s="8" t="s">
        <v>1090</v>
      </c>
      <c r="K274" s="8" t="s">
        <v>2636</v>
      </c>
      <c r="L274" s="283"/>
      <c r="M274" s="8"/>
      <c r="N274" s="8"/>
      <c r="O274" s="281"/>
      <c r="P274" s="8"/>
      <c r="Q274" s="132"/>
      <c r="R274" s="38"/>
      <c r="S274" s="8"/>
      <c r="T274" s="8"/>
      <c r="U274" s="8"/>
      <c r="V274" s="8"/>
      <c r="W274" s="8"/>
      <c r="X274" s="8"/>
      <c r="Y274" s="8"/>
      <c r="Z274" s="8"/>
      <c r="AA274" s="8"/>
    </row>
    <row r="275" spans="1:27" ht="110.25" hidden="1">
      <c r="A275" s="8" t="s">
        <v>20</v>
      </c>
      <c r="B275" s="29" t="s">
        <v>195</v>
      </c>
      <c r="C275" s="8" t="s">
        <v>793</v>
      </c>
      <c r="D275" s="8" t="s">
        <v>797</v>
      </c>
      <c r="E275" s="8" t="s">
        <v>798</v>
      </c>
      <c r="F275" s="20"/>
      <c r="G275" s="20" t="s">
        <v>62</v>
      </c>
      <c r="H275" s="20"/>
      <c r="I275" s="22"/>
      <c r="J275" s="20"/>
      <c r="K275" s="20"/>
      <c r="L275" s="278"/>
      <c r="M275" s="20"/>
      <c r="N275" s="20"/>
      <c r="O275" s="279"/>
      <c r="P275" s="20"/>
      <c r="Q275" s="132"/>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t="s">
        <v>2592</v>
      </c>
      <c r="G276" s="8" t="s">
        <v>62</v>
      </c>
      <c r="H276" s="8" t="s">
        <v>801</v>
      </c>
      <c r="I276" s="9">
        <v>1</v>
      </c>
      <c r="J276" s="8" t="s">
        <v>1090</v>
      </c>
      <c r="K276" s="8"/>
      <c r="L276" s="283"/>
      <c r="M276" s="8"/>
      <c r="N276" s="8"/>
      <c r="O276" s="281"/>
      <c r="P276" s="8"/>
      <c r="Q276" s="132"/>
      <c r="R276" s="38"/>
      <c r="S276" s="8"/>
      <c r="T276" s="8"/>
      <c r="U276" s="8"/>
      <c r="V276" s="8"/>
      <c r="W276" s="8"/>
      <c r="X276" s="8"/>
      <c r="Y276" s="8"/>
      <c r="Z276" s="8"/>
      <c r="AA276" s="8"/>
    </row>
    <row r="277" spans="1:27" ht="94.5" hidden="1">
      <c r="A277" s="8" t="s">
        <v>20</v>
      </c>
      <c r="B277" s="29" t="s">
        <v>195</v>
      </c>
      <c r="C277" s="8" t="s">
        <v>793</v>
      </c>
      <c r="D277" s="8" t="s">
        <v>802</v>
      </c>
      <c r="E277" s="69" t="s">
        <v>803</v>
      </c>
      <c r="F277" s="8" t="s">
        <v>2592</v>
      </c>
      <c r="G277" s="8" t="s">
        <v>62</v>
      </c>
      <c r="H277" s="8" t="s">
        <v>804</v>
      </c>
      <c r="I277" s="9">
        <v>1</v>
      </c>
      <c r="J277" s="8" t="s">
        <v>1090</v>
      </c>
      <c r="K277" s="8" t="s">
        <v>2637</v>
      </c>
      <c r="L277" s="283"/>
      <c r="M277" s="8"/>
      <c r="N277" s="8"/>
      <c r="O277" s="281"/>
      <c r="P277" s="8"/>
      <c r="Q277" s="132"/>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283"/>
      <c r="M278" s="8"/>
      <c r="N278" s="8"/>
      <c r="O278" s="281"/>
      <c r="P278" s="8"/>
      <c r="Q278" s="132"/>
      <c r="R278" s="38"/>
      <c r="S278" s="8"/>
      <c r="T278" s="8"/>
      <c r="U278" s="8"/>
      <c r="V278" s="8"/>
      <c r="W278" s="8"/>
      <c r="X278" s="8"/>
      <c r="Y278" s="8"/>
      <c r="Z278" s="8"/>
      <c r="AA278" s="8"/>
    </row>
    <row r="279" spans="1:27" ht="110.25" hidden="1">
      <c r="A279" s="8" t="s">
        <v>20</v>
      </c>
      <c r="B279" s="29" t="s">
        <v>195</v>
      </c>
      <c r="C279" s="8" t="s">
        <v>808</v>
      </c>
      <c r="D279" s="8" t="s">
        <v>809</v>
      </c>
      <c r="E279" s="8" t="s">
        <v>810</v>
      </c>
      <c r="F279" s="8" t="s">
        <v>2592</v>
      </c>
      <c r="G279" s="8" t="s">
        <v>62</v>
      </c>
      <c r="H279" s="8" t="s">
        <v>811</v>
      </c>
      <c r="I279" s="9">
        <v>1</v>
      </c>
      <c r="J279" s="8" t="s">
        <v>1090</v>
      </c>
      <c r="K279" s="8"/>
      <c r="L279" s="283"/>
      <c r="M279" s="8"/>
      <c r="N279" s="8"/>
      <c r="O279" s="281"/>
      <c r="P279" s="8"/>
      <c r="Q279" s="132"/>
      <c r="R279" s="38"/>
      <c r="S279" s="8"/>
      <c r="T279" s="8"/>
      <c r="U279" s="8"/>
      <c r="V279" s="8"/>
      <c r="W279" s="8"/>
      <c r="X279" s="8"/>
      <c r="Y279" s="8"/>
      <c r="Z279" s="8"/>
      <c r="AA279" s="8"/>
    </row>
    <row r="280" spans="1:27" ht="63" hidden="1">
      <c r="A280" s="8" t="s">
        <v>20</v>
      </c>
      <c r="B280" s="29" t="s">
        <v>195</v>
      </c>
      <c r="C280" s="8" t="s">
        <v>808</v>
      </c>
      <c r="D280" s="8" t="s">
        <v>812</v>
      </c>
      <c r="E280" s="8" t="s">
        <v>813</v>
      </c>
      <c r="F280" s="8" t="s">
        <v>2592</v>
      </c>
      <c r="G280" s="8" t="s">
        <v>62</v>
      </c>
      <c r="H280" s="8" t="s">
        <v>814</v>
      </c>
      <c r="I280" s="8" t="s">
        <v>210</v>
      </c>
      <c r="J280" s="8" t="s">
        <v>1090</v>
      </c>
      <c r="K280" s="8"/>
      <c r="L280" s="283"/>
      <c r="M280" s="8"/>
      <c r="N280" s="8"/>
      <c r="O280" s="281"/>
      <c r="P280" s="8"/>
      <c r="Q280" s="132"/>
      <c r="R280" s="38"/>
      <c r="S280" s="8"/>
      <c r="T280" s="8"/>
      <c r="U280" s="8"/>
      <c r="V280" s="8"/>
      <c r="W280" s="8"/>
      <c r="X280" s="8"/>
      <c r="Y280" s="8"/>
      <c r="Z280" s="8"/>
      <c r="AA280" s="8"/>
    </row>
    <row r="281" spans="1:27" ht="94.5" hidden="1">
      <c r="A281" s="8" t="s">
        <v>20</v>
      </c>
      <c r="B281" s="29" t="s">
        <v>195</v>
      </c>
      <c r="C281" s="8" t="s">
        <v>815</v>
      </c>
      <c r="D281" s="8" t="s">
        <v>816</v>
      </c>
      <c r="E281" s="8" t="s">
        <v>253</v>
      </c>
      <c r="F281" s="8" t="s">
        <v>2590</v>
      </c>
      <c r="G281" s="8" t="s">
        <v>62</v>
      </c>
      <c r="H281" s="8" t="s">
        <v>254</v>
      </c>
      <c r="I281" s="9">
        <v>1</v>
      </c>
      <c r="J281" s="8" t="s">
        <v>1191</v>
      </c>
      <c r="K281" s="8" t="s">
        <v>2623</v>
      </c>
      <c r="L281" s="283" t="s">
        <v>2624</v>
      </c>
      <c r="M281" s="8" t="s">
        <v>10</v>
      </c>
      <c r="N281" s="8" t="s">
        <v>2625</v>
      </c>
      <c r="O281" s="281"/>
      <c r="P281" s="8"/>
      <c r="Q281" s="132"/>
      <c r="R281" s="38"/>
      <c r="S281" s="8"/>
      <c r="T281" s="8"/>
      <c r="U281" s="8"/>
      <c r="V281" s="8"/>
      <c r="W281" s="8"/>
      <c r="X281" s="8"/>
      <c r="Y281" s="8"/>
      <c r="Z281" s="8"/>
      <c r="AA281" s="8"/>
    </row>
    <row r="282" spans="1:27" ht="204.75" hidden="1">
      <c r="A282" s="8" t="s">
        <v>20</v>
      </c>
      <c r="B282" s="29" t="s">
        <v>195</v>
      </c>
      <c r="C282" s="8" t="s">
        <v>815</v>
      </c>
      <c r="D282" s="8" t="s">
        <v>817</v>
      </c>
      <c r="E282" s="8" t="s">
        <v>818</v>
      </c>
      <c r="F282" s="20"/>
      <c r="G282" s="20" t="s">
        <v>62</v>
      </c>
      <c r="H282" s="20"/>
      <c r="I282" s="22"/>
      <c r="J282" s="20"/>
      <c r="K282" s="20"/>
      <c r="L282" s="278"/>
      <c r="M282" s="20"/>
      <c r="N282" s="20"/>
      <c r="O282" s="279"/>
      <c r="P282" s="20"/>
      <c r="Q282" s="132"/>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t="s">
        <v>2592</v>
      </c>
      <c r="G283" s="8" t="s">
        <v>62</v>
      </c>
      <c r="H283" s="8" t="s">
        <v>821</v>
      </c>
      <c r="I283" s="9">
        <v>1</v>
      </c>
      <c r="J283" s="8" t="s">
        <v>1090</v>
      </c>
      <c r="K283" s="8"/>
      <c r="L283" s="283"/>
      <c r="M283" s="8"/>
      <c r="N283" s="8"/>
      <c r="O283" s="281"/>
      <c r="P283" s="8"/>
      <c r="Q283" s="132"/>
      <c r="R283" s="38"/>
      <c r="S283" s="8"/>
      <c r="T283" s="8"/>
      <c r="U283" s="8"/>
      <c r="V283" s="8"/>
      <c r="W283" s="8"/>
      <c r="X283" s="8"/>
      <c r="Y283" s="8"/>
      <c r="Z283" s="8"/>
      <c r="AA283" s="8"/>
    </row>
    <row r="284" spans="1:27" ht="110.25" hidden="1">
      <c r="A284" s="8" t="s">
        <v>20</v>
      </c>
      <c r="B284" s="29" t="s">
        <v>195</v>
      </c>
      <c r="C284" s="8" t="s">
        <v>815</v>
      </c>
      <c r="D284" s="8" t="s">
        <v>822</v>
      </c>
      <c r="E284" s="69" t="s">
        <v>823</v>
      </c>
      <c r="F284" s="8" t="s">
        <v>2592</v>
      </c>
      <c r="G284" s="8" t="s">
        <v>62</v>
      </c>
      <c r="H284" s="8" t="s">
        <v>824</v>
      </c>
      <c r="I284" s="9">
        <v>1</v>
      </c>
      <c r="J284" s="8" t="s">
        <v>1090</v>
      </c>
      <c r="K284" s="8"/>
      <c r="L284" s="283"/>
      <c r="M284" s="8"/>
      <c r="N284" s="8"/>
      <c r="O284" s="281"/>
      <c r="P284" s="8"/>
      <c r="Q284" s="132"/>
      <c r="R284" s="38"/>
      <c r="S284" s="8"/>
      <c r="T284" s="8"/>
      <c r="U284" s="8"/>
      <c r="V284" s="8"/>
      <c r="W284" s="8"/>
      <c r="X284" s="8"/>
      <c r="Y284" s="8"/>
      <c r="Z284" s="8"/>
      <c r="AA284" s="8"/>
    </row>
    <row r="285" spans="1:27" ht="110.25" hidden="1">
      <c r="A285" s="8" t="s">
        <v>20</v>
      </c>
      <c r="B285" s="29" t="s">
        <v>195</v>
      </c>
      <c r="C285" s="8" t="s">
        <v>815</v>
      </c>
      <c r="D285" s="8" t="s">
        <v>825</v>
      </c>
      <c r="E285" s="8" t="s">
        <v>826</v>
      </c>
      <c r="F285" s="8" t="s">
        <v>2592</v>
      </c>
      <c r="G285" s="8" t="s">
        <v>62</v>
      </c>
      <c r="H285" s="8" t="s">
        <v>827</v>
      </c>
      <c r="I285" s="9">
        <v>1</v>
      </c>
      <c r="J285" s="8" t="s">
        <v>1090</v>
      </c>
      <c r="K285" s="8"/>
      <c r="L285" s="283"/>
      <c r="M285" s="8"/>
      <c r="N285" s="8"/>
      <c r="O285" s="281"/>
      <c r="P285" s="8"/>
      <c r="Q285" s="132"/>
      <c r="R285" s="38"/>
      <c r="S285" s="8"/>
      <c r="T285" s="8"/>
      <c r="U285" s="8"/>
      <c r="V285" s="8"/>
      <c r="W285" s="8"/>
      <c r="X285" s="8"/>
      <c r="Y285" s="8"/>
      <c r="Z285" s="8"/>
      <c r="AA285" s="8"/>
    </row>
    <row r="286" spans="1:27" ht="78.75" hidden="1">
      <c r="A286" s="8" t="s">
        <v>20</v>
      </c>
      <c r="B286" s="29" t="s">
        <v>195</v>
      </c>
      <c r="C286" s="8" t="s">
        <v>815</v>
      </c>
      <c r="D286" s="8" t="s">
        <v>828</v>
      </c>
      <c r="E286" s="8" t="s">
        <v>829</v>
      </c>
      <c r="F286" s="8" t="s">
        <v>2592</v>
      </c>
      <c r="G286" s="8" t="s">
        <v>62</v>
      </c>
      <c r="H286" s="8" t="s">
        <v>830</v>
      </c>
      <c r="I286" s="8" t="s">
        <v>831</v>
      </c>
      <c r="J286" s="8" t="s">
        <v>1090</v>
      </c>
      <c r="K286" s="8"/>
      <c r="L286" s="283"/>
      <c r="M286" s="8"/>
      <c r="N286" s="8"/>
      <c r="O286" s="281"/>
      <c r="P286" s="8"/>
      <c r="Q286" s="132"/>
      <c r="R286" s="38"/>
      <c r="S286" s="8"/>
      <c r="T286" s="8"/>
      <c r="U286" s="8"/>
      <c r="V286" s="8"/>
      <c r="W286" s="8"/>
      <c r="X286" s="8"/>
      <c r="Y286" s="8"/>
      <c r="Z286" s="8"/>
      <c r="AA286" s="8"/>
    </row>
    <row r="287" spans="1:27" ht="47.25" hidden="1">
      <c r="A287" s="8" t="s">
        <v>20</v>
      </c>
      <c r="B287" s="29" t="s">
        <v>195</v>
      </c>
      <c r="C287" s="8" t="s">
        <v>815</v>
      </c>
      <c r="D287" s="8" t="s">
        <v>832</v>
      </c>
      <c r="E287" s="8" t="s">
        <v>833</v>
      </c>
      <c r="F287" s="8" t="s">
        <v>2592</v>
      </c>
      <c r="G287" s="8" t="s">
        <v>62</v>
      </c>
      <c r="H287" s="8" t="s">
        <v>834</v>
      </c>
      <c r="I287" s="9">
        <v>0.8</v>
      </c>
      <c r="J287" s="8" t="s">
        <v>8</v>
      </c>
      <c r="K287" s="8"/>
      <c r="L287" s="283"/>
      <c r="M287" s="8" t="s">
        <v>9</v>
      </c>
      <c r="N287" s="8" t="s">
        <v>2595</v>
      </c>
      <c r="O287" s="281"/>
      <c r="P287" s="8"/>
      <c r="Q287" s="132"/>
      <c r="R287" s="38"/>
      <c r="S287" s="8"/>
      <c r="T287" s="8"/>
      <c r="U287" s="8"/>
      <c r="V287" s="8"/>
      <c r="W287" s="8"/>
      <c r="X287" s="8"/>
      <c r="Y287" s="8"/>
      <c r="Z287" s="8"/>
      <c r="AA287" s="8"/>
    </row>
    <row r="288" spans="1:27" ht="63" hidden="1">
      <c r="A288" s="8" t="s">
        <v>20</v>
      </c>
      <c r="B288" s="29" t="s">
        <v>195</v>
      </c>
      <c r="C288" s="8" t="s">
        <v>835</v>
      </c>
      <c r="D288" s="8" t="s">
        <v>836</v>
      </c>
      <c r="E288" s="8" t="s">
        <v>837</v>
      </c>
      <c r="F288" s="8" t="s">
        <v>2592</v>
      </c>
      <c r="G288" s="8" t="s">
        <v>62</v>
      </c>
      <c r="H288" s="8" t="s">
        <v>783</v>
      </c>
      <c r="I288" s="9">
        <v>0.5</v>
      </c>
      <c r="J288" s="8" t="s">
        <v>8</v>
      </c>
      <c r="K288" s="8"/>
      <c r="L288" s="283"/>
      <c r="M288" s="8" t="s">
        <v>9</v>
      </c>
      <c r="N288" s="8" t="s">
        <v>2595</v>
      </c>
      <c r="O288" s="281"/>
      <c r="P288" s="8"/>
      <c r="Q288" s="132"/>
      <c r="R288" s="38"/>
      <c r="S288" s="8"/>
      <c r="T288" s="8"/>
      <c r="U288" s="8"/>
      <c r="V288" s="8"/>
      <c r="W288" s="8"/>
      <c r="X288" s="8"/>
      <c r="Y288" s="8"/>
      <c r="Z288" s="8"/>
      <c r="AA288" s="8"/>
    </row>
    <row r="289" spans="1:51" ht="47.25" hidden="1">
      <c r="A289" s="8" t="s">
        <v>20</v>
      </c>
      <c r="B289" s="29" t="s">
        <v>195</v>
      </c>
      <c r="C289" s="8" t="s">
        <v>835</v>
      </c>
      <c r="D289" s="8" t="s">
        <v>838</v>
      </c>
      <c r="E289" s="8" t="s">
        <v>839</v>
      </c>
      <c r="F289" s="8" t="s">
        <v>2592</v>
      </c>
      <c r="G289" s="8" t="s">
        <v>62</v>
      </c>
      <c r="H289" s="8" t="s">
        <v>259</v>
      </c>
      <c r="I289" s="8" t="s">
        <v>210</v>
      </c>
      <c r="J289" s="8" t="s">
        <v>1090</v>
      </c>
      <c r="K289" s="8"/>
      <c r="L289" s="283"/>
      <c r="M289" s="8"/>
      <c r="N289" s="8"/>
      <c r="O289" s="281"/>
      <c r="P289" s="8"/>
      <c r="Q289" s="132"/>
      <c r="R289" s="38"/>
      <c r="S289" s="8"/>
      <c r="T289" s="8"/>
      <c r="U289" s="8"/>
      <c r="V289" s="8"/>
      <c r="W289" s="8"/>
      <c r="X289" s="8"/>
      <c r="Y289" s="8"/>
      <c r="Z289" s="8"/>
      <c r="AA289" s="8"/>
    </row>
    <row r="290" spans="1:51" ht="47.25" hidden="1">
      <c r="A290" s="8" t="s">
        <v>20</v>
      </c>
      <c r="B290" s="29" t="s">
        <v>195</v>
      </c>
      <c r="C290" s="8" t="s">
        <v>835</v>
      </c>
      <c r="D290" s="8" t="s">
        <v>840</v>
      </c>
      <c r="E290" s="8" t="s">
        <v>841</v>
      </c>
      <c r="F290" s="8" t="s">
        <v>2592</v>
      </c>
      <c r="G290" s="8" t="s">
        <v>62</v>
      </c>
      <c r="H290" s="8" t="s">
        <v>842</v>
      </c>
      <c r="I290" s="8" t="s">
        <v>210</v>
      </c>
      <c r="J290" s="8" t="s">
        <v>1090</v>
      </c>
      <c r="K290" s="8"/>
      <c r="L290" s="283"/>
      <c r="M290" s="8"/>
      <c r="N290" s="8"/>
      <c r="O290" s="281"/>
      <c r="P290" s="8"/>
      <c r="Q290" s="132"/>
      <c r="R290" s="38"/>
      <c r="S290" s="8"/>
      <c r="T290" s="8"/>
      <c r="U290" s="8"/>
      <c r="V290" s="8"/>
      <c r="W290" s="8"/>
      <c r="X290" s="8"/>
      <c r="Y290" s="8"/>
      <c r="Z290" s="8"/>
      <c r="AA290" s="8"/>
    </row>
    <row r="291" spans="1:51" ht="63" hidden="1">
      <c r="A291" s="8" t="s">
        <v>20</v>
      </c>
      <c r="B291" s="29" t="s">
        <v>195</v>
      </c>
      <c r="C291" s="8" t="s">
        <v>835</v>
      </c>
      <c r="D291" s="8" t="s">
        <v>843</v>
      </c>
      <c r="E291" s="8" t="s">
        <v>844</v>
      </c>
      <c r="F291" s="8" t="s">
        <v>2590</v>
      </c>
      <c r="G291" s="8" t="s">
        <v>62</v>
      </c>
      <c r="H291" s="8" t="s">
        <v>845</v>
      </c>
      <c r="I291" s="8" t="s">
        <v>846</v>
      </c>
      <c r="J291" s="8" t="s">
        <v>1090</v>
      </c>
      <c r="K291" s="8"/>
      <c r="L291" s="283"/>
      <c r="M291" s="8"/>
      <c r="N291" s="8"/>
      <c r="O291" s="281"/>
      <c r="P291" s="8"/>
      <c r="Q291" s="132"/>
      <c r="R291" s="38"/>
      <c r="S291" s="8"/>
      <c r="T291" s="8"/>
      <c r="U291" s="8"/>
      <c r="V291" s="8"/>
      <c r="W291" s="8"/>
      <c r="X291" s="8"/>
      <c r="Y291" s="8"/>
      <c r="Z291" s="8"/>
      <c r="AA291" s="8"/>
    </row>
    <row r="292" spans="1:51" ht="78.75" hidden="1">
      <c r="A292" s="8" t="s">
        <v>20</v>
      </c>
      <c r="B292" s="29" t="s">
        <v>195</v>
      </c>
      <c r="C292" s="8" t="s">
        <v>835</v>
      </c>
      <c r="D292" s="8" t="s">
        <v>847</v>
      </c>
      <c r="E292" s="8" t="s">
        <v>848</v>
      </c>
      <c r="F292" s="8" t="s">
        <v>2590</v>
      </c>
      <c r="G292" s="8" t="s">
        <v>62</v>
      </c>
      <c r="H292" s="8" t="s">
        <v>849</v>
      </c>
      <c r="I292" s="8" t="s">
        <v>135</v>
      </c>
      <c r="J292" s="8" t="s">
        <v>1090</v>
      </c>
      <c r="K292" s="8"/>
      <c r="L292" s="283"/>
      <c r="M292" s="8"/>
      <c r="N292" s="8"/>
      <c r="O292" s="281"/>
      <c r="P292" s="8"/>
      <c r="Q292" s="132"/>
      <c r="R292" s="38"/>
      <c r="S292" s="8"/>
      <c r="T292" s="8"/>
      <c r="U292" s="8"/>
      <c r="V292" s="8"/>
      <c r="W292" s="8"/>
      <c r="X292" s="8"/>
      <c r="Y292" s="8"/>
      <c r="Z292" s="8"/>
      <c r="AA292" s="8"/>
    </row>
    <row r="293" spans="1:51" ht="126" hidden="1">
      <c r="A293" s="8" t="s">
        <v>20</v>
      </c>
      <c r="B293" s="29" t="s">
        <v>274</v>
      </c>
      <c r="C293" s="8" t="s">
        <v>850</v>
      </c>
      <c r="D293" s="8" t="s">
        <v>851</v>
      </c>
      <c r="E293" s="8" t="s">
        <v>852</v>
      </c>
      <c r="F293" s="8" t="s">
        <v>2592</v>
      </c>
      <c r="G293" s="8" t="s">
        <v>62</v>
      </c>
      <c r="H293" s="8" t="s">
        <v>853</v>
      </c>
      <c r="I293" s="8" t="s">
        <v>697</v>
      </c>
      <c r="J293" s="8" t="s">
        <v>1090</v>
      </c>
      <c r="K293" s="8"/>
      <c r="L293" s="283"/>
      <c r="M293" s="8"/>
      <c r="N293" s="8"/>
      <c r="O293" s="281"/>
      <c r="P293" s="8"/>
      <c r="Q293" s="132"/>
      <c r="R293" s="38"/>
      <c r="S293" s="8"/>
      <c r="T293" s="8"/>
      <c r="U293" s="8"/>
      <c r="V293" s="8"/>
      <c r="W293" s="8"/>
      <c r="X293" s="8"/>
      <c r="Y293" s="8"/>
      <c r="Z293" s="8"/>
      <c r="AA293" s="8"/>
    </row>
    <row r="294" spans="1:51" ht="78.75" hidden="1">
      <c r="A294" s="8" t="s">
        <v>20</v>
      </c>
      <c r="B294" s="29" t="s">
        <v>274</v>
      </c>
      <c r="C294" s="8" t="s">
        <v>850</v>
      </c>
      <c r="D294" s="8" t="s">
        <v>854</v>
      </c>
      <c r="E294" s="8" t="s">
        <v>855</v>
      </c>
      <c r="F294" s="8" t="s">
        <v>2592</v>
      </c>
      <c r="G294" s="8" t="s">
        <v>62</v>
      </c>
      <c r="H294" s="8" t="s">
        <v>856</v>
      </c>
      <c r="I294" s="8" t="s">
        <v>701</v>
      </c>
      <c r="J294" s="8" t="s">
        <v>1090</v>
      </c>
      <c r="K294" s="8"/>
      <c r="L294" s="283"/>
      <c r="M294" s="8"/>
      <c r="N294" s="8"/>
      <c r="O294" s="281"/>
      <c r="P294" s="8"/>
      <c r="Q294" s="132"/>
      <c r="R294" s="38"/>
      <c r="S294" s="8"/>
      <c r="T294" s="8"/>
      <c r="U294" s="8"/>
      <c r="V294" s="8"/>
      <c r="W294" s="8"/>
      <c r="X294" s="8"/>
      <c r="Y294" s="8"/>
      <c r="Z294" s="8"/>
      <c r="AA294" s="8"/>
    </row>
    <row r="295" spans="1:51" ht="47.25" hidden="1">
      <c r="A295" s="8" t="s">
        <v>20</v>
      </c>
      <c r="B295" s="29" t="s">
        <v>274</v>
      </c>
      <c r="C295" s="8" t="s">
        <v>850</v>
      </c>
      <c r="D295" s="8" t="s">
        <v>857</v>
      </c>
      <c r="E295" s="8" t="s">
        <v>858</v>
      </c>
      <c r="F295" s="8" t="s">
        <v>2590</v>
      </c>
      <c r="G295" s="8" t="s">
        <v>62</v>
      </c>
      <c r="H295" s="8" t="s">
        <v>859</v>
      </c>
      <c r="I295" s="9">
        <v>0.5</v>
      </c>
      <c r="J295" s="8" t="s">
        <v>8</v>
      </c>
      <c r="K295" s="8"/>
      <c r="L295" s="283"/>
      <c r="M295" s="8" t="s">
        <v>9</v>
      </c>
      <c r="N295" s="8" t="s">
        <v>2595</v>
      </c>
      <c r="O295" s="281"/>
      <c r="P295" s="8"/>
      <c r="Q295" s="132"/>
      <c r="R295" s="38"/>
      <c r="S295" s="8"/>
      <c r="T295" s="8"/>
      <c r="U295" s="8"/>
      <c r="V295" s="8"/>
      <c r="W295" s="8"/>
      <c r="X295" s="8"/>
      <c r="Y295" s="8"/>
      <c r="Z295" s="8"/>
      <c r="AA295" s="8"/>
    </row>
    <row r="296" spans="1:51" ht="47.25" hidden="1">
      <c r="A296" s="8" t="s">
        <v>20</v>
      </c>
      <c r="B296" s="29" t="s">
        <v>274</v>
      </c>
      <c r="C296" s="8" t="s">
        <v>850</v>
      </c>
      <c r="D296" s="8" t="s">
        <v>860</v>
      </c>
      <c r="E296" s="8" t="s">
        <v>861</v>
      </c>
      <c r="F296" s="8" t="s">
        <v>2592</v>
      </c>
      <c r="G296" s="8" t="s">
        <v>62</v>
      </c>
      <c r="H296" s="8" t="s">
        <v>862</v>
      </c>
      <c r="I296" s="9">
        <v>0.5</v>
      </c>
      <c r="J296" s="8" t="s">
        <v>1090</v>
      </c>
      <c r="K296" s="8"/>
      <c r="L296" s="283"/>
      <c r="M296" s="8"/>
      <c r="N296" s="8"/>
      <c r="O296" s="281"/>
      <c r="P296" s="8"/>
      <c r="Q296" s="132"/>
      <c r="R296" s="38"/>
      <c r="S296" s="8"/>
      <c r="T296" s="8"/>
      <c r="U296" s="8"/>
      <c r="V296" s="8"/>
      <c r="W296" s="8"/>
      <c r="X296" s="8"/>
      <c r="Y296" s="8"/>
      <c r="Z296" s="8"/>
      <c r="AA296" s="8"/>
    </row>
    <row r="297" spans="1:51" ht="78.75" hidden="1">
      <c r="A297" s="8" t="s">
        <v>20</v>
      </c>
      <c r="B297" s="29" t="s">
        <v>274</v>
      </c>
      <c r="C297" s="8" t="s">
        <v>850</v>
      </c>
      <c r="D297" s="8" t="s">
        <v>863</v>
      </c>
      <c r="E297" s="8" t="s">
        <v>864</v>
      </c>
      <c r="F297" s="8" t="s">
        <v>2592</v>
      </c>
      <c r="G297" s="8" t="s">
        <v>62</v>
      </c>
      <c r="H297" s="8" t="s">
        <v>865</v>
      </c>
      <c r="I297" s="9">
        <v>0.5</v>
      </c>
      <c r="J297" s="8" t="s">
        <v>8</v>
      </c>
      <c r="K297" s="8" t="s">
        <v>2638</v>
      </c>
      <c r="L297" s="283"/>
      <c r="M297" s="8"/>
      <c r="N297" s="8"/>
      <c r="O297" s="281"/>
      <c r="P297" s="8"/>
      <c r="Q297" s="132"/>
      <c r="R297" s="38"/>
      <c r="S297" s="8"/>
      <c r="T297" s="8"/>
      <c r="U297" s="8"/>
      <c r="V297" s="8"/>
      <c r="W297" s="8"/>
      <c r="X297" s="8"/>
      <c r="Y297" s="8"/>
      <c r="Z297" s="8"/>
      <c r="AA297" s="8"/>
    </row>
    <row r="298" spans="1:51" s="5" customFormat="1" ht="78.75" hidden="1">
      <c r="A298" s="20" t="s">
        <v>20</v>
      </c>
      <c r="B298" s="30" t="s">
        <v>274</v>
      </c>
      <c r="C298" s="19" t="s">
        <v>866</v>
      </c>
      <c r="D298" s="19" t="s">
        <v>582</v>
      </c>
      <c r="E298" s="19" t="s">
        <v>582</v>
      </c>
      <c r="F298" s="19" t="s">
        <v>582</v>
      </c>
      <c r="G298" s="19" t="s">
        <v>582</v>
      </c>
      <c r="H298" s="19" t="s">
        <v>582</v>
      </c>
      <c r="I298" s="19" t="s">
        <v>582</v>
      </c>
      <c r="J298" s="19" t="s">
        <v>582</v>
      </c>
      <c r="K298" s="19" t="s">
        <v>582</v>
      </c>
      <c r="L298" s="19" t="s">
        <v>582</v>
      </c>
      <c r="M298" s="19" t="s">
        <v>582</v>
      </c>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t="s">
        <v>582</v>
      </c>
      <c r="E299" s="19" t="s">
        <v>582</v>
      </c>
      <c r="F299" s="19" t="s">
        <v>582</v>
      </c>
      <c r="G299" s="19" t="s">
        <v>582</v>
      </c>
      <c r="H299" s="19" t="s">
        <v>582</v>
      </c>
      <c r="I299" s="19" t="s">
        <v>582</v>
      </c>
      <c r="J299" s="19" t="s">
        <v>582</v>
      </c>
      <c r="K299" s="19" t="s">
        <v>582</v>
      </c>
      <c r="L299" s="19" t="s">
        <v>582</v>
      </c>
      <c r="M299" s="19" t="s">
        <v>582</v>
      </c>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t="s">
        <v>2592</v>
      </c>
      <c r="G300" s="8" t="s">
        <v>62</v>
      </c>
      <c r="H300" s="8" t="s">
        <v>871</v>
      </c>
      <c r="I300" s="8" t="s">
        <v>210</v>
      </c>
      <c r="J300" s="8" t="s">
        <v>1090</v>
      </c>
      <c r="K300" s="8"/>
      <c r="L300" s="283"/>
      <c r="M300" s="8"/>
      <c r="N300" s="8"/>
      <c r="O300" s="281"/>
      <c r="P300" s="8"/>
      <c r="Q300" s="132"/>
      <c r="R300" s="38"/>
      <c r="S300" s="8"/>
      <c r="T300" s="8"/>
      <c r="U300" s="8"/>
      <c r="V300" s="8"/>
      <c r="W300" s="8"/>
      <c r="X300" s="8"/>
      <c r="Y300" s="8"/>
      <c r="Z300" s="8"/>
      <c r="AA300" s="8"/>
    </row>
    <row r="301" spans="1:51" ht="63" hidden="1">
      <c r="A301" s="8" t="s">
        <v>20</v>
      </c>
      <c r="B301" s="29" t="s">
        <v>274</v>
      </c>
      <c r="C301" s="8" t="s">
        <v>868</v>
      </c>
      <c r="D301" s="8" t="s">
        <v>872</v>
      </c>
      <c r="E301" s="8" t="s">
        <v>873</v>
      </c>
      <c r="F301" s="8" t="s">
        <v>2590</v>
      </c>
      <c r="G301" s="8" t="s">
        <v>62</v>
      </c>
      <c r="H301" s="8" t="s">
        <v>874</v>
      </c>
      <c r="I301" s="8" t="s">
        <v>875</v>
      </c>
      <c r="J301" s="8" t="s">
        <v>1090</v>
      </c>
      <c r="K301" s="8"/>
      <c r="L301" s="283"/>
      <c r="M301" s="8"/>
      <c r="N301" s="8"/>
      <c r="O301" s="281"/>
      <c r="P301" s="8"/>
      <c r="Q301" s="132"/>
      <c r="R301" s="38"/>
      <c r="S301" s="8"/>
      <c r="T301" s="8"/>
      <c r="U301" s="8"/>
      <c r="V301" s="8"/>
      <c r="W301" s="8"/>
      <c r="X301" s="8"/>
      <c r="Y301" s="8"/>
      <c r="Z301" s="8"/>
      <c r="AA301" s="8"/>
    </row>
    <row r="302" spans="1:51" ht="63" hidden="1">
      <c r="A302" s="8" t="s">
        <v>20</v>
      </c>
      <c r="B302" s="29" t="s">
        <v>274</v>
      </c>
      <c r="C302" s="8" t="s">
        <v>876</v>
      </c>
      <c r="D302" s="8" t="s">
        <v>877</v>
      </c>
      <c r="E302" s="8" t="s">
        <v>878</v>
      </c>
      <c r="F302" s="20"/>
      <c r="G302" s="20" t="s">
        <v>62</v>
      </c>
      <c r="H302" s="20"/>
      <c r="I302" s="22">
        <v>1</v>
      </c>
      <c r="J302" s="20"/>
      <c r="K302" s="20"/>
      <c r="L302" s="278"/>
      <c r="M302" s="20"/>
      <c r="N302" s="20"/>
      <c r="O302" s="279"/>
      <c r="P302" s="20"/>
      <c r="Q302" s="132"/>
      <c r="R302" s="39"/>
      <c r="S302" s="20"/>
      <c r="T302" s="20"/>
      <c r="U302" s="20"/>
      <c r="V302" s="20"/>
      <c r="W302" s="20"/>
      <c r="X302" s="20"/>
      <c r="Y302" s="20"/>
      <c r="Z302" s="20"/>
      <c r="AA302" s="8"/>
    </row>
    <row r="303" spans="1:51" ht="63" hidden="1">
      <c r="A303" s="8" t="s">
        <v>20</v>
      </c>
      <c r="B303" s="29" t="s">
        <v>587</v>
      </c>
      <c r="C303" s="8" t="s">
        <v>876</v>
      </c>
      <c r="D303" s="8" t="s">
        <v>879</v>
      </c>
      <c r="E303" s="69" t="s">
        <v>880</v>
      </c>
      <c r="F303" s="8" t="s">
        <v>2590</v>
      </c>
      <c r="G303" s="8" t="s">
        <v>62</v>
      </c>
      <c r="H303" s="8" t="s">
        <v>591</v>
      </c>
      <c r="I303" s="9">
        <v>1</v>
      </c>
      <c r="J303" s="8" t="s">
        <v>1090</v>
      </c>
      <c r="K303" s="8"/>
      <c r="L303" s="283"/>
      <c r="M303" s="8"/>
      <c r="N303" s="8"/>
      <c r="O303" s="281"/>
      <c r="P303" s="8"/>
      <c r="Q303" s="132"/>
      <c r="R303" s="38"/>
      <c r="S303" s="8"/>
      <c r="T303" s="8"/>
      <c r="U303" s="8"/>
      <c r="V303" s="8"/>
      <c r="W303" s="8"/>
      <c r="X303" s="8"/>
      <c r="Y303" s="8"/>
      <c r="Z303" s="8"/>
      <c r="AA303" s="8"/>
    </row>
    <row r="304" spans="1:51" ht="63" hidden="1">
      <c r="A304" s="8" t="s">
        <v>20</v>
      </c>
      <c r="B304" s="29" t="s">
        <v>587</v>
      </c>
      <c r="C304" s="8" t="s">
        <v>876</v>
      </c>
      <c r="D304" s="8" t="s">
        <v>881</v>
      </c>
      <c r="E304" s="69" t="s">
        <v>882</v>
      </c>
      <c r="F304" s="8" t="s">
        <v>2592</v>
      </c>
      <c r="G304" s="8" t="s">
        <v>62</v>
      </c>
      <c r="H304" s="8" t="s">
        <v>591</v>
      </c>
      <c r="I304" s="9">
        <v>2</v>
      </c>
      <c r="J304" s="8" t="s">
        <v>1090</v>
      </c>
      <c r="K304" s="8" t="s">
        <v>2639</v>
      </c>
      <c r="L304" s="283"/>
      <c r="M304" s="8"/>
      <c r="N304" s="8"/>
      <c r="O304" s="281"/>
      <c r="P304" s="8"/>
      <c r="Q304" s="132"/>
      <c r="R304" s="38"/>
      <c r="S304" s="8"/>
      <c r="T304" s="8"/>
      <c r="U304" s="8"/>
      <c r="V304" s="8"/>
      <c r="W304" s="8"/>
      <c r="X304" s="8"/>
      <c r="Y304" s="8"/>
      <c r="Z304" s="8"/>
      <c r="AA304" s="8"/>
    </row>
    <row r="305" spans="1:27" ht="63" hidden="1">
      <c r="A305" s="8" t="s">
        <v>20</v>
      </c>
      <c r="B305" s="29" t="s">
        <v>587</v>
      </c>
      <c r="C305" s="8" t="s">
        <v>876</v>
      </c>
      <c r="D305" s="8" t="s">
        <v>883</v>
      </c>
      <c r="E305" s="69" t="s">
        <v>884</v>
      </c>
      <c r="F305" s="8" t="s">
        <v>2592</v>
      </c>
      <c r="G305" s="8" t="s">
        <v>62</v>
      </c>
      <c r="H305" s="8" t="s">
        <v>591</v>
      </c>
      <c r="I305" s="9">
        <v>3</v>
      </c>
      <c r="J305" s="8" t="s">
        <v>1090</v>
      </c>
      <c r="K305" s="8" t="s">
        <v>2640</v>
      </c>
      <c r="L305" s="283"/>
      <c r="M305" s="8"/>
      <c r="N305" s="8"/>
      <c r="O305" s="281"/>
      <c r="P305" s="8"/>
      <c r="Q305" s="132"/>
      <c r="R305" s="38"/>
      <c r="S305" s="8"/>
      <c r="T305" s="8"/>
      <c r="U305" s="8"/>
      <c r="V305" s="8"/>
      <c r="W305" s="8"/>
      <c r="X305" s="8"/>
      <c r="Y305" s="8"/>
      <c r="Z305" s="8"/>
      <c r="AA305" s="8"/>
    </row>
    <row r="306" spans="1:27" ht="63" hidden="1">
      <c r="A306" s="8" t="s">
        <v>20</v>
      </c>
      <c r="B306" s="29" t="s">
        <v>587</v>
      </c>
      <c r="C306" s="8" t="s">
        <v>876</v>
      </c>
      <c r="D306" s="8" t="s">
        <v>885</v>
      </c>
      <c r="E306" s="69" t="s">
        <v>886</v>
      </c>
      <c r="F306" s="8" t="s">
        <v>2592</v>
      </c>
      <c r="G306" s="8" t="s">
        <v>62</v>
      </c>
      <c r="H306" s="8" t="s">
        <v>591</v>
      </c>
      <c r="I306" s="9">
        <v>4</v>
      </c>
      <c r="J306" s="8" t="s">
        <v>1090</v>
      </c>
      <c r="K306" s="8" t="s">
        <v>2640</v>
      </c>
      <c r="L306" s="283"/>
      <c r="M306" s="8"/>
      <c r="N306" s="8"/>
      <c r="O306" s="281"/>
      <c r="P306" s="8"/>
      <c r="Q306" s="132"/>
      <c r="R306" s="38"/>
      <c r="S306" s="8"/>
      <c r="T306" s="8"/>
      <c r="U306" s="8"/>
      <c r="V306" s="8"/>
      <c r="W306" s="8"/>
      <c r="X306" s="8"/>
      <c r="Y306" s="8"/>
      <c r="Z306" s="8"/>
      <c r="AA306" s="8"/>
    </row>
    <row r="307" spans="1:27" ht="78.75" hidden="1">
      <c r="A307" s="8" t="s">
        <v>20</v>
      </c>
      <c r="B307" s="29" t="s">
        <v>587</v>
      </c>
      <c r="C307" s="8" t="s">
        <v>876</v>
      </c>
      <c r="D307" s="8" t="s">
        <v>887</v>
      </c>
      <c r="E307" s="69" t="s">
        <v>888</v>
      </c>
      <c r="F307" s="8" t="s">
        <v>2592</v>
      </c>
      <c r="G307" s="8" t="s">
        <v>62</v>
      </c>
      <c r="H307" s="8" t="s">
        <v>591</v>
      </c>
      <c r="I307" s="9">
        <v>5</v>
      </c>
      <c r="J307" s="8" t="s">
        <v>1090</v>
      </c>
      <c r="K307" s="8" t="s">
        <v>2640</v>
      </c>
      <c r="L307" s="283"/>
      <c r="M307" s="8"/>
      <c r="N307" s="8"/>
      <c r="O307" s="281"/>
      <c r="P307" s="8"/>
      <c r="Q307" s="132"/>
      <c r="R307" s="38"/>
      <c r="S307" s="8"/>
      <c r="T307" s="8"/>
      <c r="U307" s="8"/>
      <c r="V307" s="8"/>
      <c r="W307" s="8"/>
      <c r="X307" s="8"/>
      <c r="Y307" s="8"/>
      <c r="Z307" s="8"/>
      <c r="AA307" s="8"/>
    </row>
    <row r="308" spans="1:27" ht="56.25" hidden="1">
      <c r="A308" s="8" t="s">
        <v>20</v>
      </c>
      <c r="B308" s="29" t="s">
        <v>587</v>
      </c>
      <c r="C308" s="8" t="s">
        <v>876</v>
      </c>
      <c r="D308" s="8" t="s">
        <v>889</v>
      </c>
      <c r="E308" s="8" t="s">
        <v>890</v>
      </c>
      <c r="F308" s="8" t="s">
        <v>2590</v>
      </c>
      <c r="G308" s="8" t="s">
        <v>58</v>
      </c>
      <c r="H308" s="8" t="s">
        <v>891</v>
      </c>
      <c r="I308" s="9">
        <v>0.5</v>
      </c>
      <c r="J308" s="8" t="s">
        <v>1090</v>
      </c>
      <c r="K308" s="8"/>
      <c r="L308" s="283"/>
      <c r="M308" s="8"/>
      <c r="N308" s="8"/>
      <c r="O308" s="281"/>
      <c r="P308" s="8"/>
      <c r="Q308" s="132"/>
      <c r="R308" s="38"/>
      <c r="S308" s="8"/>
      <c r="T308" s="8"/>
      <c r="U308" s="8"/>
      <c r="V308" s="8"/>
      <c r="W308" s="8"/>
      <c r="X308" s="8"/>
      <c r="Y308" s="8"/>
      <c r="Z308" s="8"/>
      <c r="AA308" s="8"/>
    </row>
    <row r="309" spans="1:27" ht="56.25" hidden="1">
      <c r="A309" s="8" t="s">
        <v>20</v>
      </c>
      <c r="B309" s="29" t="s">
        <v>587</v>
      </c>
      <c r="C309" s="8" t="s">
        <v>876</v>
      </c>
      <c r="D309" s="8" t="s">
        <v>892</v>
      </c>
      <c r="E309" s="8" t="s">
        <v>893</v>
      </c>
      <c r="F309" s="8" t="s">
        <v>2592</v>
      </c>
      <c r="G309" s="8" t="s">
        <v>62</v>
      </c>
      <c r="H309" s="8" t="s">
        <v>894</v>
      </c>
      <c r="I309" s="9">
        <v>1</v>
      </c>
      <c r="J309" s="8" t="s">
        <v>8</v>
      </c>
      <c r="K309" s="8"/>
      <c r="L309" s="283"/>
      <c r="M309" s="8" t="s">
        <v>9</v>
      </c>
      <c r="N309" s="8"/>
      <c r="O309" s="281"/>
      <c r="P309" s="8"/>
      <c r="Q309" s="132"/>
      <c r="R309" s="38"/>
      <c r="S309" s="8"/>
      <c r="T309" s="8"/>
      <c r="U309" s="8"/>
      <c r="V309" s="8"/>
      <c r="W309" s="8"/>
      <c r="X309" s="8"/>
      <c r="Y309" s="8"/>
      <c r="Z309" s="8"/>
      <c r="AA309" s="8"/>
    </row>
    <row r="310" spans="1:27" ht="56.25" hidden="1">
      <c r="A310" s="8" t="s">
        <v>20</v>
      </c>
      <c r="B310" s="29" t="s">
        <v>587</v>
      </c>
      <c r="C310" s="8" t="s">
        <v>876</v>
      </c>
      <c r="D310" s="8" t="s">
        <v>895</v>
      </c>
      <c r="E310" s="8" t="s">
        <v>896</v>
      </c>
      <c r="F310" s="8" t="s">
        <v>2592</v>
      </c>
      <c r="G310" s="8" t="s">
        <v>62</v>
      </c>
      <c r="H310" s="8" t="s">
        <v>894</v>
      </c>
      <c r="I310" s="9">
        <v>1</v>
      </c>
      <c r="J310" s="8" t="s">
        <v>1090</v>
      </c>
      <c r="K310" s="8"/>
      <c r="L310" s="283"/>
      <c r="M310" s="8"/>
      <c r="N310" s="8"/>
      <c r="O310" s="281"/>
      <c r="P310" s="8"/>
      <c r="Q310" s="132"/>
      <c r="R310" s="38"/>
      <c r="S310" s="8"/>
      <c r="T310" s="8"/>
      <c r="U310" s="8"/>
      <c r="V310" s="8"/>
      <c r="W310" s="8"/>
      <c r="X310" s="8"/>
      <c r="Y310" s="8"/>
      <c r="Z310" s="8"/>
      <c r="AA310" s="8"/>
    </row>
    <row r="311" spans="1:27" ht="63" hidden="1">
      <c r="A311" s="8" t="s">
        <v>20</v>
      </c>
      <c r="B311" s="29" t="s">
        <v>587</v>
      </c>
      <c r="C311" s="8" t="s">
        <v>897</v>
      </c>
      <c r="D311" s="8" t="s">
        <v>898</v>
      </c>
      <c r="E311" s="8" t="s">
        <v>899</v>
      </c>
      <c r="F311" s="8" t="s">
        <v>2592</v>
      </c>
      <c r="G311" s="8" t="s">
        <v>62</v>
      </c>
      <c r="H311" s="8" t="s">
        <v>735</v>
      </c>
      <c r="I311" s="9">
        <v>1</v>
      </c>
      <c r="J311" s="8" t="s">
        <v>1090</v>
      </c>
      <c r="K311" s="8"/>
      <c r="L311" s="283"/>
      <c r="M311" s="8"/>
      <c r="N311" s="8"/>
      <c r="O311" s="281"/>
      <c r="P311" s="8"/>
      <c r="Q311" s="132"/>
      <c r="R311" s="38"/>
      <c r="S311" s="8"/>
      <c r="T311" s="8"/>
      <c r="U311" s="8"/>
      <c r="V311" s="8"/>
      <c r="W311" s="8"/>
      <c r="X311" s="8"/>
      <c r="Y311" s="8"/>
      <c r="Z311" s="8"/>
      <c r="AA311" s="8"/>
    </row>
    <row r="312" spans="1:27" ht="63" hidden="1">
      <c r="A312" s="8" t="s">
        <v>20</v>
      </c>
      <c r="B312" s="29" t="s">
        <v>587</v>
      </c>
      <c r="C312" s="8" t="s">
        <v>897</v>
      </c>
      <c r="D312" s="8" t="s">
        <v>900</v>
      </c>
      <c r="E312" s="8" t="s">
        <v>899</v>
      </c>
      <c r="F312" s="8" t="s">
        <v>2592</v>
      </c>
      <c r="G312" s="8" t="s">
        <v>62</v>
      </c>
      <c r="H312" s="8" t="s">
        <v>428</v>
      </c>
      <c r="I312" s="9">
        <v>1</v>
      </c>
      <c r="J312" s="8" t="s">
        <v>1090</v>
      </c>
      <c r="K312" s="8" t="s">
        <v>2641</v>
      </c>
      <c r="L312" s="283"/>
      <c r="M312" s="8"/>
      <c r="N312" s="8"/>
      <c r="O312" s="281"/>
      <c r="P312" s="8"/>
      <c r="Q312" s="132"/>
      <c r="R312" s="38"/>
      <c r="S312" s="8"/>
      <c r="T312" s="8"/>
      <c r="U312" s="8"/>
      <c r="V312" s="8"/>
      <c r="W312" s="8"/>
      <c r="X312" s="8"/>
      <c r="Y312" s="8"/>
      <c r="Z312" s="8"/>
      <c r="AA312" s="8"/>
    </row>
    <row r="313" spans="1:27" ht="78.75" hidden="1">
      <c r="A313" s="8" t="s">
        <v>20</v>
      </c>
      <c r="B313" s="29" t="s">
        <v>587</v>
      </c>
      <c r="C313" s="8" t="s">
        <v>901</v>
      </c>
      <c r="D313" s="8" t="s">
        <v>902</v>
      </c>
      <c r="E313" s="8" t="s">
        <v>903</v>
      </c>
      <c r="F313" s="8" t="s">
        <v>2592</v>
      </c>
      <c r="G313" s="8" t="s">
        <v>62</v>
      </c>
      <c r="H313" s="8" t="s">
        <v>623</v>
      </c>
      <c r="I313" s="9">
        <v>1</v>
      </c>
      <c r="J313" s="8" t="s">
        <v>1191</v>
      </c>
      <c r="K313" s="8" t="s">
        <v>2642</v>
      </c>
      <c r="L313" s="283"/>
      <c r="M313" s="8" t="s">
        <v>11</v>
      </c>
      <c r="N313" s="8"/>
      <c r="O313" s="281"/>
      <c r="P313" s="8"/>
      <c r="Q313" s="132"/>
      <c r="R313" s="38"/>
      <c r="S313" s="8"/>
      <c r="T313" s="8"/>
      <c r="U313" s="8"/>
      <c r="V313" s="8"/>
      <c r="W313" s="8"/>
      <c r="X313" s="8"/>
      <c r="Y313" s="8"/>
      <c r="Z313" s="8"/>
      <c r="AA313" s="8"/>
    </row>
    <row r="314" spans="1:27" ht="78.75" hidden="1">
      <c r="A314" s="8" t="s">
        <v>20</v>
      </c>
      <c r="B314" s="29" t="s">
        <v>587</v>
      </c>
      <c r="C314" s="8" t="s">
        <v>901</v>
      </c>
      <c r="D314" s="8" t="s">
        <v>904</v>
      </c>
      <c r="E314" s="8" t="s">
        <v>905</v>
      </c>
      <c r="F314" s="8" t="s">
        <v>2592</v>
      </c>
      <c r="G314" s="8" t="s">
        <v>62</v>
      </c>
      <c r="H314" s="8" t="s">
        <v>742</v>
      </c>
      <c r="I314" s="9">
        <v>0.5</v>
      </c>
      <c r="J314" s="8" t="s">
        <v>1090</v>
      </c>
      <c r="K314" s="8"/>
      <c r="L314" s="283"/>
      <c r="M314" s="8"/>
      <c r="N314" s="8"/>
      <c r="O314" s="281"/>
      <c r="P314" s="8"/>
      <c r="Q314" s="132"/>
      <c r="R314" s="38"/>
      <c r="S314" s="8"/>
      <c r="T314" s="8"/>
      <c r="U314" s="8"/>
      <c r="V314" s="8"/>
      <c r="W314" s="8"/>
      <c r="X314" s="8"/>
      <c r="Y314" s="8"/>
      <c r="Z314" s="8"/>
      <c r="AA314" s="8"/>
    </row>
    <row r="315" spans="1:27" ht="78.75" hidden="1">
      <c r="A315" s="8" t="s">
        <v>20</v>
      </c>
      <c r="B315" s="29" t="s">
        <v>587</v>
      </c>
      <c r="C315" s="8" t="s">
        <v>901</v>
      </c>
      <c r="D315" s="8" t="s">
        <v>906</v>
      </c>
      <c r="E315" s="8" t="s">
        <v>907</v>
      </c>
      <c r="F315" s="8" t="s">
        <v>2592</v>
      </c>
      <c r="G315" s="8" t="s">
        <v>58</v>
      </c>
      <c r="H315" s="8" t="s">
        <v>745</v>
      </c>
      <c r="I315" s="9">
        <v>0.5</v>
      </c>
      <c r="J315" s="8" t="s">
        <v>1090</v>
      </c>
      <c r="K315" s="8"/>
      <c r="L315" s="283"/>
      <c r="M315" s="8"/>
      <c r="N315" s="8"/>
      <c r="O315" s="281"/>
      <c r="P315" s="8"/>
      <c r="Q315" s="132"/>
      <c r="R315" s="38"/>
      <c r="S315" s="8"/>
      <c r="T315" s="8"/>
      <c r="U315" s="8"/>
      <c r="V315" s="8"/>
      <c r="W315" s="8"/>
      <c r="X315" s="8"/>
      <c r="Y315" s="8"/>
      <c r="Z315" s="8"/>
      <c r="AA315" s="8"/>
    </row>
    <row r="316" spans="1:27" ht="94.5" hidden="1">
      <c r="A316" s="8" t="s">
        <v>20</v>
      </c>
      <c r="B316" s="29" t="s">
        <v>587</v>
      </c>
      <c r="C316" s="8" t="s">
        <v>908</v>
      </c>
      <c r="D316" s="8" t="s">
        <v>909</v>
      </c>
      <c r="E316" s="8" t="s">
        <v>910</v>
      </c>
      <c r="F316" s="8" t="s">
        <v>2592</v>
      </c>
      <c r="G316" s="8" t="s">
        <v>62</v>
      </c>
      <c r="H316" s="8" t="s">
        <v>911</v>
      </c>
      <c r="I316" s="9">
        <v>0.5</v>
      </c>
      <c r="J316" s="8" t="s">
        <v>8</v>
      </c>
      <c r="K316" s="8"/>
      <c r="L316" s="283"/>
      <c r="M316" s="8" t="s">
        <v>12</v>
      </c>
      <c r="N316" s="8"/>
      <c r="O316" s="281"/>
      <c r="P316" s="8"/>
      <c r="Q316" s="132"/>
      <c r="R316" s="38"/>
      <c r="S316" s="8"/>
      <c r="T316" s="8"/>
      <c r="U316" s="8"/>
      <c r="V316" s="8"/>
      <c r="W316" s="8"/>
      <c r="X316" s="8"/>
      <c r="Y316" s="8"/>
      <c r="Z316" s="8"/>
      <c r="AA316" s="8"/>
    </row>
    <row r="317" spans="1:27" ht="94.5" hidden="1">
      <c r="A317" s="8" t="s">
        <v>20</v>
      </c>
      <c r="B317" s="29" t="s">
        <v>587</v>
      </c>
      <c r="C317" s="8" t="s">
        <v>908</v>
      </c>
      <c r="D317" s="8" t="s">
        <v>912</v>
      </c>
      <c r="E317" s="8" t="s">
        <v>913</v>
      </c>
      <c r="F317" s="8" t="s">
        <v>2592</v>
      </c>
      <c r="G317" s="8" t="s">
        <v>62</v>
      </c>
      <c r="H317" s="8" t="s">
        <v>859</v>
      </c>
      <c r="I317" s="9">
        <v>0.5</v>
      </c>
      <c r="J317" s="8" t="s">
        <v>8</v>
      </c>
      <c r="K317" s="8"/>
      <c r="L317" s="283"/>
      <c r="M317" s="8" t="s">
        <v>12</v>
      </c>
      <c r="N317" s="8"/>
      <c r="O317" s="281"/>
      <c r="P317" s="8"/>
      <c r="Q317" s="132"/>
      <c r="R317" s="38"/>
      <c r="S317" s="8"/>
      <c r="T317" s="8"/>
      <c r="U317" s="8"/>
      <c r="V317" s="8"/>
      <c r="W317" s="8"/>
      <c r="X317" s="8"/>
      <c r="Y317" s="8"/>
      <c r="Z317" s="8"/>
      <c r="AA317" s="8"/>
    </row>
    <row r="318" spans="1:27" ht="78.75" hidden="1">
      <c r="A318" s="8" t="s">
        <v>20</v>
      </c>
      <c r="B318" s="29" t="s">
        <v>587</v>
      </c>
      <c r="C318" s="8" t="s">
        <v>908</v>
      </c>
      <c r="D318" s="8" t="s">
        <v>914</v>
      </c>
      <c r="E318" s="8" t="s">
        <v>915</v>
      </c>
      <c r="F318" s="8" t="s">
        <v>2592</v>
      </c>
      <c r="G318" s="8" t="s">
        <v>62</v>
      </c>
      <c r="H318" s="8" t="s">
        <v>916</v>
      </c>
      <c r="I318" s="9">
        <v>0.5</v>
      </c>
      <c r="J318" s="8" t="s">
        <v>8</v>
      </c>
      <c r="K318" s="8"/>
      <c r="L318" s="283"/>
      <c r="M318" s="8" t="s">
        <v>12</v>
      </c>
      <c r="N318" s="8"/>
      <c r="O318" s="281"/>
      <c r="P318" s="8"/>
      <c r="Q318" s="132"/>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20"/>
      <c r="G320" s="24" t="s">
        <v>62</v>
      </c>
      <c r="H320" s="24" t="s">
        <v>921</v>
      </c>
      <c r="I320" s="24" t="s">
        <v>485</v>
      </c>
      <c r="J320" s="20"/>
      <c r="K320" s="20"/>
      <c r="L320" s="278"/>
      <c r="M320" s="20"/>
      <c r="N320" s="20"/>
      <c r="O320" s="279"/>
      <c r="P320" s="20"/>
      <c r="Q320" s="132"/>
      <c r="R320" s="39"/>
      <c r="S320" s="20"/>
      <c r="T320" s="20"/>
      <c r="U320" s="20"/>
      <c r="V320" s="20"/>
      <c r="W320" s="20"/>
      <c r="X320" s="20"/>
      <c r="Y320" s="20"/>
      <c r="Z320" s="20"/>
      <c r="AA320" s="8"/>
    </row>
    <row r="321" spans="1:51" ht="63" hidden="1">
      <c r="A321" s="8" t="s">
        <v>22</v>
      </c>
      <c r="B321" s="31" t="s">
        <v>54</v>
      </c>
      <c r="C321" s="18" t="s">
        <v>918</v>
      </c>
      <c r="D321" s="18" t="s">
        <v>922</v>
      </c>
      <c r="E321" s="69" t="s">
        <v>923</v>
      </c>
      <c r="F321" s="8" t="s">
        <v>2590</v>
      </c>
      <c r="G321" s="18" t="s">
        <v>62</v>
      </c>
      <c r="H321" s="18" t="s">
        <v>921</v>
      </c>
      <c r="I321" s="18" t="s">
        <v>485</v>
      </c>
      <c r="J321" s="8" t="s">
        <v>1090</v>
      </c>
      <c r="K321" s="8"/>
      <c r="L321" s="283"/>
      <c r="M321" s="8"/>
      <c r="N321" s="8"/>
      <c r="O321" s="281"/>
      <c r="P321" s="8"/>
      <c r="Q321" s="132"/>
      <c r="R321" s="38"/>
      <c r="S321" s="8"/>
      <c r="T321" s="8"/>
      <c r="U321" s="8"/>
      <c r="V321" s="8"/>
      <c r="W321" s="8"/>
      <c r="X321" s="8"/>
      <c r="Y321" s="8"/>
      <c r="Z321" s="8"/>
      <c r="AA321" s="8"/>
    </row>
    <row r="322" spans="1:51" ht="63" hidden="1">
      <c r="A322" s="8" t="s">
        <v>22</v>
      </c>
      <c r="B322" s="31" t="s">
        <v>54</v>
      </c>
      <c r="C322" s="18" t="s">
        <v>918</v>
      </c>
      <c r="D322" s="18" t="s">
        <v>924</v>
      </c>
      <c r="E322" s="69" t="s">
        <v>925</v>
      </c>
      <c r="F322" s="8" t="s">
        <v>2592</v>
      </c>
      <c r="G322" s="18" t="s">
        <v>62</v>
      </c>
      <c r="H322" s="18" t="s">
        <v>921</v>
      </c>
      <c r="I322" s="18" t="s">
        <v>485</v>
      </c>
      <c r="J322" s="8" t="s">
        <v>1090</v>
      </c>
      <c r="K322" s="8"/>
      <c r="L322" s="283"/>
      <c r="M322" s="8"/>
      <c r="N322" s="8"/>
      <c r="O322" s="281"/>
      <c r="P322" s="8"/>
      <c r="Q322" s="132"/>
      <c r="R322" s="38"/>
      <c r="S322" s="8"/>
      <c r="T322" s="8"/>
      <c r="U322" s="8"/>
      <c r="V322" s="8"/>
      <c r="W322" s="8"/>
      <c r="X322" s="8"/>
      <c r="Y322" s="8"/>
      <c r="Z322" s="8"/>
      <c r="AA322" s="8"/>
    </row>
    <row r="323" spans="1:51" ht="63" hidden="1">
      <c r="A323" s="8" t="s">
        <v>22</v>
      </c>
      <c r="B323" s="31" t="s">
        <v>54</v>
      </c>
      <c r="C323" s="18" t="s">
        <v>918</v>
      </c>
      <c r="D323" s="18" t="s">
        <v>926</v>
      </c>
      <c r="E323" s="69" t="s">
        <v>927</v>
      </c>
      <c r="F323" s="8" t="s">
        <v>2592</v>
      </c>
      <c r="G323" s="18" t="s">
        <v>62</v>
      </c>
      <c r="H323" s="18" t="s">
        <v>921</v>
      </c>
      <c r="I323" s="18" t="s">
        <v>485</v>
      </c>
      <c r="J323" s="8" t="s">
        <v>8</v>
      </c>
      <c r="K323" s="8" t="s">
        <v>2643</v>
      </c>
      <c r="L323" s="283"/>
      <c r="M323" s="8"/>
      <c r="N323" s="8"/>
      <c r="O323" s="281"/>
      <c r="P323" s="8"/>
      <c r="Q323" s="132"/>
      <c r="R323" s="38"/>
      <c r="S323" s="8"/>
      <c r="T323" s="8"/>
      <c r="U323" s="8"/>
      <c r="V323" s="8"/>
      <c r="W323" s="8"/>
      <c r="X323" s="8"/>
      <c r="Y323" s="8"/>
      <c r="Z323" s="8"/>
      <c r="AA323" s="8"/>
    </row>
    <row r="324" spans="1:51" ht="63" hidden="1">
      <c r="A324" s="8" t="s">
        <v>22</v>
      </c>
      <c r="B324" s="31" t="s">
        <v>54</v>
      </c>
      <c r="C324" s="18" t="s">
        <v>928</v>
      </c>
      <c r="D324" s="18" t="s">
        <v>929</v>
      </c>
      <c r="E324" s="18" t="s">
        <v>930</v>
      </c>
      <c r="F324" s="20"/>
      <c r="G324" s="24" t="s">
        <v>62</v>
      </c>
      <c r="H324" s="20"/>
      <c r="I324" s="20"/>
      <c r="J324" s="20"/>
      <c r="K324" s="20"/>
      <c r="L324" s="278"/>
      <c r="M324" s="20"/>
      <c r="N324" s="20"/>
      <c r="O324" s="279"/>
      <c r="P324" s="20"/>
      <c r="Q324" s="132"/>
      <c r="R324" s="39"/>
      <c r="S324" s="20"/>
      <c r="T324" s="20"/>
      <c r="U324" s="20"/>
      <c r="V324" s="20"/>
      <c r="W324" s="20"/>
      <c r="X324" s="20"/>
      <c r="Y324" s="20"/>
      <c r="Z324" s="20"/>
      <c r="AA324" s="8"/>
    </row>
    <row r="325" spans="1:51" ht="78.75" hidden="1">
      <c r="A325" s="8" t="s">
        <v>22</v>
      </c>
      <c r="B325" s="31" t="s">
        <v>54</v>
      </c>
      <c r="C325" s="18" t="s">
        <v>928</v>
      </c>
      <c r="D325" s="18" t="s">
        <v>931</v>
      </c>
      <c r="E325" s="69" t="s">
        <v>932</v>
      </c>
      <c r="F325" s="8" t="s">
        <v>2592</v>
      </c>
      <c r="G325" s="18" t="s">
        <v>62</v>
      </c>
      <c r="H325" s="18" t="s">
        <v>493</v>
      </c>
      <c r="I325" s="18" t="s">
        <v>933</v>
      </c>
      <c r="J325" s="8" t="s">
        <v>1090</v>
      </c>
      <c r="K325" s="8"/>
      <c r="L325" s="283"/>
      <c r="M325" s="8"/>
      <c r="N325" s="8"/>
      <c r="O325" s="281"/>
      <c r="P325" s="8"/>
      <c r="Q325" s="132"/>
      <c r="R325" s="38"/>
      <c r="S325" s="8"/>
      <c r="T325" s="8"/>
      <c r="U325" s="8"/>
      <c r="V325" s="8"/>
      <c r="W325" s="8"/>
      <c r="X325" s="8"/>
      <c r="Y325" s="8"/>
      <c r="Z325" s="8"/>
      <c r="AA325" s="8"/>
    </row>
    <row r="326" spans="1:51" ht="78.75" hidden="1">
      <c r="A326" s="8" t="s">
        <v>22</v>
      </c>
      <c r="B326" s="31" t="s">
        <v>54</v>
      </c>
      <c r="C326" s="18" t="s">
        <v>928</v>
      </c>
      <c r="D326" s="18" t="s">
        <v>934</v>
      </c>
      <c r="E326" s="69" t="s">
        <v>935</v>
      </c>
      <c r="F326" s="8" t="s">
        <v>2592</v>
      </c>
      <c r="G326" s="18" t="s">
        <v>62</v>
      </c>
      <c r="H326" s="18" t="s">
        <v>493</v>
      </c>
      <c r="I326" s="18" t="s">
        <v>933</v>
      </c>
      <c r="J326" s="8" t="s">
        <v>1090</v>
      </c>
      <c r="K326" s="8"/>
      <c r="L326" s="283"/>
      <c r="M326" s="8"/>
      <c r="N326" s="8"/>
      <c r="O326" s="281"/>
      <c r="P326" s="8"/>
      <c r="Q326" s="132"/>
      <c r="R326" s="38"/>
      <c r="S326" s="8"/>
      <c r="T326" s="8"/>
      <c r="U326" s="8"/>
      <c r="V326" s="8"/>
      <c r="W326" s="8"/>
      <c r="X326" s="8"/>
      <c r="Y326" s="8"/>
      <c r="Z326" s="8"/>
      <c r="AA326" s="8"/>
    </row>
    <row r="327" spans="1:51" ht="78.75" hidden="1">
      <c r="A327" s="8" t="s">
        <v>22</v>
      </c>
      <c r="B327" s="31" t="s">
        <v>54</v>
      </c>
      <c r="C327" s="18" t="s">
        <v>928</v>
      </c>
      <c r="D327" s="18" t="s">
        <v>936</v>
      </c>
      <c r="E327" s="69" t="s">
        <v>937</v>
      </c>
      <c r="F327" s="8" t="s">
        <v>2592</v>
      </c>
      <c r="G327" s="18" t="s">
        <v>62</v>
      </c>
      <c r="H327" s="18" t="s">
        <v>493</v>
      </c>
      <c r="I327" s="18" t="s">
        <v>933</v>
      </c>
      <c r="J327" s="8" t="s">
        <v>1090</v>
      </c>
      <c r="K327" s="8"/>
      <c r="L327" s="283"/>
      <c r="M327" s="8"/>
      <c r="N327" s="8"/>
      <c r="O327" s="281"/>
      <c r="P327" s="8"/>
      <c r="Q327" s="132"/>
      <c r="R327" s="38"/>
      <c r="S327" s="8"/>
      <c r="T327" s="8"/>
      <c r="U327" s="8"/>
      <c r="V327" s="8"/>
      <c r="W327" s="8"/>
      <c r="X327" s="8"/>
      <c r="Y327" s="8"/>
      <c r="Z327" s="8"/>
      <c r="AA327" s="8"/>
    </row>
    <row r="328" spans="1:51" ht="78.75" hidden="1">
      <c r="A328" s="8" t="s">
        <v>22</v>
      </c>
      <c r="B328" s="31" t="s">
        <v>54</v>
      </c>
      <c r="C328" s="18" t="s">
        <v>928</v>
      </c>
      <c r="D328" s="18" t="s">
        <v>938</v>
      </c>
      <c r="E328" s="69" t="s">
        <v>939</v>
      </c>
      <c r="F328" s="8" t="s">
        <v>2592</v>
      </c>
      <c r="G328" s="18" t="s">
        <v>62</v>
      </c>
      <c r="H328" s="18" t="s">
        <v>493</v>
      </c>
      <c r="I328" s="18" t="s">
        <v>933</v>
      </c>
      <c r="J328" s="8" t="s">
        <v>1090</v>
      </c>
      <c r="K328" s="8"/>
      <c r="L328" s="283"/>
      <c r="M328" s="8"/>
      <c r="N328" s="8"/>
      <c r="O328" s="281"/>
      <c r="P328" s="8"/>
      <c r="Q328" s="132"/>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t="s">
        <v>2592</v>
      </c>
      <c r="G329" s="18" t="s">
        <v>62</v>
      </c>
      <c r="H329" s="18" t="s">
        <v>525</v>
      </c>
      <c r="I329" s="18" t="s">
        <v>526</v>
      </c>
      <c r="J329" s="8" t="s">
        <v>8</v>
      </c>
      <c r="K329" s="8"/>
      <c r="L329" s="283"/>
      <c r="M329" s="8" t="s">
        <v>12</v>
      </c>
      <c r="N329" s="8"/>
      <c r="O329" s="281"/>
      <c r="P329" s="8"/>
      <c r="Q329" s="132"/>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t="s">
        <v>2592</v>
      </c>
      <c r="G330" s="18" t="s">
        <v>62</v>
      </c>
      <c r="H330" s="18" t="s">
        <v>944</v>
      </c>
      <c r="I330" s="23">
        <v>1</v>
      </c>
      <c r="J330" s="8" t="s">
        <v>1090</v>
      </c>
      <c r="K330" s="9" t="s">
        <v>2611</v>
      </c>
      <c r="L330" s="283"/>
      <c r="M330" s="8"/>
      <c r="N330" s="8"/>
      <c r="O330" s="281"/>
      <c r="P330" s="8"/>
      <c r="Q330" s="132"/>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t="s">
        <v>2592</v>
      </c>
      <c r="G331" s="18" t="s">
        <v>62</v>
      </c>
      <c r="H331" s="18" t="s">
        <v>944</v>
      </c>
      <c r="I331" s="23">
        <v>1</v>
      </c>
      <c r="J331" s="8" t="s">
        <v>8</v>
      </c>
      <c r="K331" s="8"/>
      <c r="L331" s="283"/>
      <c r="M331" s="8" t="s">
        <v>10</v>
      </c>
      <c r="N331" s="8"/>
      <c r="O331" s="281"/>
      <c r="P331" s="8"/>
      <c r="Q331" s="132"/>
      <c r="R331" s="38"/>
      <c r="S331" s="8"/>
      <c r="T331" s="8"/>
      <c r="U331" s="8"/>
      <c r="V331" s="8"/>
      <c r="W331" s="8"/>
      <c r="X331" s="8"/>
      <c r="Y331" s="8"/>
      <c r="Z331" s="8"/>
      <c r="AA331" s="8"/>
    </row>
    <row r="332" spans="1:51" s="5" customFormat="1" ht="31.5" hidden="1">
      <c r="A332" s="20" t="s">
        <v>22</v>
      </c>
      <c r="B332" s="32" t="s">
        <v>54</v>
      </c>
      <c r="C332" s="24" t="s">
        <v>947</v>
      </c>
      <c r="D332" s="19" t="s">
        <v>582</v>
      </c>
      <c r="E332" s="24" t="s">
        <v>582</v>
      </c>
      <c r="F332" s="24" t="s">
        <v>582</v>
      </c>
      <c r="G332" s="19" t="s">
        <v>582</v>
      </c>
      <c r="H332" s="19" t="s">
        <v>582</v>
      </c>
      <c r="I332" s="19" t="s">
        <v>582</v>
      </c>
      <c r="J332" s="19" t="s">
        <v>582</v>
      </c>
      <c r="K332" s="19" t="s">
        <v>582</v>
      </c>
      <c r="L332" s="19" t="s">
        <v>582</v>
      </c>
      <c r="M332" s="19" t="s">
        <v>582</v>
      </c>
      <c r="N332" s="19" t="s">
        <v>582</v>
      </c>
      <c r="O332" s="19" t="s">
        <v>582</v>
      </c>
      <c r="P332" s="19" t="s">
        <v>582</v>
      </c>
      <c r="Q332" s="48"/>
      <c r="R332" s="44" t="s">
        <v>582</v>
      </c>
      <c r="S332" s="19" t="s">
        <v>582</v>
      </c>
      <c r="T332" s="19" t="s">
        <v>582</v>
      </c>
      <c r="U332" s="19"/>
      <c r="V332" s="19" t="s">
        <v>582</v>
      </c>
      <c r="W332" s="19" t="s">
        <v>582</v>
      </c>
      <c r="X332" s="19" t="s">
        <v>582</v>
      </c>
      <c r="Y332" s="19" t="s">
        <v>582</v>
      </c>
      <c r="Z332" s="19" t="s">
        <v>582</v>
      </c>
      <c r="AA332" s="19" t="s">
        <v>582</v>
      </c>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t="s">
        <v>2592</v>
      </c>
      <c r="G333" s="18" t="s">
        <v>62</v>
      </c>
      <c r="H333" s="18" t="s">
        <v>951</v>
      </c>
      <c r="I333" s="23">
        <v>1</v>
      </c>
      <c r="J333" s="8" t="s">
        <v>1090</v>
      </c>
      <c r="K333" s="8"/>
      <c r="L333" s="283"/>
      <c r="M333" s="8"/>
      <c r="N333" s="8"/>
      <c r="O333" s="281"/>
      <c r="P333" s="8"/>
      <c r="Q333" s="132"/>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t="s">
        <v>2592</v>
      </c>
      <c r="G334" s="18" t="s">
        <v>62</v>
      </c>
      <c r="H334" s="18" t="s">
        <v>955</v>
      </c>
      <c r="I334" s="23">
        <v>1</v>
      </c>
      <c r="J334" s="8" t="s">
        <v>1191</v>
      </c>
      <c r="K334" s="8" t="s">
        <v>2644</v>
      </c>
      <c r="L334" s="283"/>
      <c r="M334" s="8" t="s">
        <v>11</v>
      </c>
      <c r="N334" s="8"/>
      <c r="O334" s="281"/>
      <c r="P334" s="8"/>
      <c r="Q334" s="132"/>
      <c r="R334" s="38"/>
      <c r="S334" s="8"/>
      <c r="T334" s="8"/>
      <c r="U334" s="8"/>
      <c r="V334" s="8"/>
      <c r="W334" s="8"/>
      <c r="X334" s="8"/>
      <c r="Y334" s="8"/>
      <c r="Z334" s="8"/>
      <c r="AA334" s="8"/>
    </row>
    <row r="335" spans="1:51" s="5" customFormat="1" ht="47.25" hidden="1">
      <c r="A335" s="20" t="s">
        <v>22</v>
      </c>
      <c r="B335" s="32" t="s">
        <v>195</v>
      </c>
      <c r="C335" s="24" t="s">
        <v>956</v>
      </c>
      <c r="D335" s="19" t="s">
        <v>582</v>
      </c>
      <c r="E335" s="24" t="s">
        <v>582</v>
      </c>
      <c r="F335" s="24" t="s">
        <v>582</v>
      </c>
      <c r="G335" s="19" t="s">
        <v>582</v>
      </c>
      <c r="H335" s="19" t="s">
        <v>582</v>
      </c>
      <c r="I335" s="19" t="s">
        <v>582</v>
      </c>
      <c r="J335" s="19" t="s">
        <v>582</v>
      </c>
      <c r="K335" s="19" t="s">
        <v>582</v>
      </c>
      <c r="L335" s="19" t="s">
        <v>582</v>
      </c>
      <c r="M335" s="19" t="s">
        <v>582</v>
      </c>
      <c r="N335" s="19" t="s">
        <v>582</v>
      </c>
      <c r="O335" s="19" t="s">
        <v>582</v>
      </c>
      <c r="P335" s="19" t="s">
        <v>582</v>
      </c>
      <c r="Q335" s="48"/>
      <c r="R335" s="44" t="s">
        <v>582</v>
      </c>
      <c r="S335" s="19" t="s">
        <v>582</v>
      </c>
      <c r="T335" s="19" t="s">
        <v>582</v>
      </c>
      <c r="U335" s="19"/>
      <c r="V335" s="19" t="s">
        <v>582</v>
      </c>
      <c r="W335" s="19" t="s">
        <v>582</v>
      </c>
      <c r="X335" s="19" t="s">
        <v>582</v>
      </c>
      <c r="Y335" s="19" t="s">
        <v>582</v>
      </c>
      <c r="Z335" s="19" t="s">
        <v>582</v>
      </c>
      <c r="AA335" s="19" t="s">
        <v>582</v>
      </c>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47.25" hidden="1">
      <c r="A336" s="8" t="s">
        <v>22</v>
      </c>
      <c r="B336" s="31" t="s">
        <v>195</v>
      </c>
      <c r="C336" s="18" t="s">
        <v>957</v>
      </c>
      <c r="D336" s="18" t="s">
        <v>958</v>
      </c>
      <c r="E336" s="18" t="s">
        <v>959</v>
      </c>
      <c r="F336" s="8" t="s">
        <v>2592</v>
      </c>
      <c r="G336" s="18" t="s">
        <v>62</v>
      </c>
      <c r="H336" s="18" t="s">
        <v>960</v>
      </c>
      <c r="I336" s="18" t="s">
        <v>671</v>
      </c>
      <c r="J336" s="8" t="s">
        <v>8</v>
      </c>
      <c r="K336" s="8" t="s">
        <v>2645</v>
      </c>
      <c r="L336" s="283"/>
      <c r="M336" s="8"/>
      <c r="N336" s="8"/>
      <c r="O336" s="281"/>
      <c r="P336" s="8"/>
      <c r="Q336" s="132"/>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t="s">
        <v>2592</v>
      </c>
      <c r="G337" s="18" t="s">
        <v>62</v>
      </c>
      <c r="H337" s="18" t="s">
        <v>259</v>
      </c>
      <c r="I337" s="18" t="s">
        <v>255</v>
      </c>
      <c r="J337" s="8" t="s">
        <v>1191</v>
      </c>
      <c r="K337" s="8" t="s">
        <v>2644</v>
      </c>
      <c r="L337" s="283"/>
      <c r="M337" s="8" t="s">
        <v>11</v>
      </c>
      <c r="N337" s="8"/>
      <c r="O337" s="281"/>
      <c r="P337" s="8"/>
      <c r="Q337" s="132"/>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t="s">
        <v>2592</v>
      </c>
      <c r="G338" s="18" t="s">
        <v>62</v>
      </c>
      <c r="H338" s="18" t="s">
        <v>266</v>
      </c>
      <c r="I338" s="18" t="s">
        <v>210</v>
      </c>
      <c r="J338" s="8" t="s">
        <v>1191</v>
      </c>
      <c r="K338" s="8" t="s">
        <v>2644</v>
      </c>
      <c r="L338" s="283"/>
      <c r="M338" s="8" t="s">
        <v>11</v>
      </c>
      <c r="N338" s="8"/>
      <c r="O338" s="281"/>
      <c r="P338" s="8"/>
      <c r="Q338" s="132"/>
      <c r="R338" s="38"/>
      <c r="S338" s="8"/>
      <c r="T338" s="8"/>
      <c r="U338" s="8"/>
      <c r="V338" s="8"/>
      <c r="W338" s="8"/>
      <c r="X338" s="8"/>
      <c r="Y338" s="8"/>
      <c r="Z338" s="8"/>
      <c r="AA338" s="8"/>
    </row>
    <row r="339" spans="1:51" ht="78.75" hidden="1">
      <c r="A339" s="8" t="s">
        <v>22</v>
      </c>
      <c r="B339" s="31" t="s">
        <v>195</v>
      </c>
      <c r="C339" s="18" t="s">
        <v>957</v>
      </c>
      <c r="D339" s="18" t="s">
        <v>965</v>
      </c>
      <c r="E339" s="18" t="s">
        <v>966</v>
      </c>
      <c r="F339" s="8" t="s">
        <v>2590</v>
      </c>
      <c r="G339" s="18" t="s">
        <v>62</v>
      </c>
      <c r="H339" s="18" t="s">
        <v>967</v>
      </c>
      <c r="I339" s="18" t="s">
        <v>968</v>
      </c>
      <c r="J339" s="8" t="s">
        <v>1090</v>
      </c>
      <c r="K339" s="8" t="s">
        <v>2646</v>
      </c>
      <c r="L339" s="283"/>
      <c r="M339" s="8"/>
      <c r="N339" s="8"/>
      <c r="O339" s="281"/>
      <c r="P339" s="8"/>
      <c r="Q339" s="132"/>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t="s">
        <v>2590</v>
      </c>
      <c r="G340" s="18" t="s">
        <v>62</v>
      </c>
      <c r="H340" s="18" t="s">
        <v>273</v>
      </c>
      <c r="I340" s="18" t="s">
        <v>135</v>
      </c>
      <c r="J340" s="8"/>
      <c r="K340" s="8" t="s">
        <v>2647</v>
      </c>
      <c r="L340" s="283"/>
      <c r="M340" s="8"/>
      <c r="N340" s="8"/>
      <c r="O340" s="281"/>
      <c r="P340" s="8"/>
      <c r="Q340" s="132"/>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t="s">
        <v>2592</v>
      </c>
      <c r="G341" s="18" t="s">
        <v>62</v>
      </c>
      <c r="H341" s="18" t="s">
        <v>974</v>
      </c>
      <c r="I341" s="23">
        <v>1</v>
      </c>
      <c r="J341" s="8" t="s">
        <v>8</v>
      </c>
      <c r="K341" s="8"/>
      <c r="L341" s="283"/>
      <c r="M341" s="8" t="s">
        <v>12</v>
      </c>
      <c r="N341" s="8"/>
      <c r="O341" s="281"/>
      <c r="P341" s="8"/>
      <c r="Q341" s="132"/>
      <c r="R341" s="38"/>
      <c r="S341" s="8"/>
      <c r="T341" s="8"/>
      <c r="U341" s="8"/>
      <c r="V341" s="8"/>
      <c r="W341" s="8"/>
      <c r="X341" s="8"/>
      <c r="Y341" s="8"/>
      <c r="Z341" s="8"/>
      <c r="AA341" s="8"/>
    </row>
    <row r="342" spans="1:51" s="5" customFormat="1" ht="78.75" hidden="1">
      <c r="A342" s="20" t="s">
        <v>22</v>
      </c>
      <c r="B342" s="32" t="s">
        <v>274</v>
      </c>
      <c r="C342" s="24" t="s">
        <v>975</v>
      </c>
      <c r="D342" s="24" t="s">
        <v>582</v>
      </c>
      <c r="E342" s="24" t="s">
        <v>582</v>
      </c>
      <c r="F342" s="24" t="s">
        <v>582</v>
      </c>
      <c r="G342" s="24" t="s">
        <v>582</v>
      </c>
      <c r="H342" s="24" t="s">
        <v>582</v>
      </c>
      <c r="I342" s="24" t="s">
        <v>582</v>
      </c>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t="s">
        <v>582</v>
      </c>
      <c r="E343" s="24" t="s">
        <v>582</v>
      </c>
      <c r="F343" s="24" t="s">
        <v>582</v>
      </c>
      <c r="G343" s="24" t="s">
        <v>582</v>
      </c>
      <c r="H343" s="24" t="s">
        <v>582</v>
      </c>
      <c r="I343" s="24" t="s">
        <v>582</v>
      </c>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t="s">
        <v>2592</v>
      </c>
      <c r="G344" s="18" t="s">
        <v>62</v>
      </c>
      <c r="H344" s="18" t="s">
        <v>980</v>
      </c>
      <c r="I344" s="23">
        <v>0.8</v>
      </c>
      <c r="J344" s="8" t="s">
        <v>1090</v>
      </c>
      <c r="K344" s="8"/>
      <c r="L344" s="283"/>
      <c r="M344" s="8"/>
      <c r="N344" s="8"/>
      <c r="O344" s="281"/>
      <c r="P344" s="8"/>
      <c r="Q344" s="132"/>
      <c r="R344" s="38"/>
      <c r="S344" s="8"/>
      <c r="T344" s="8"/>
      <c r="U344" s="8"/>
      <c r="V344" s="8"/>
      <c r="W344" s="8"/>
      <c r="X344" s="8"/>
      <c r="Y344" s="8"/>
      <c r="Z344" s="8"/>
      <c r="AA344" s="8"/>
    </row>
    <row r="345" spans="1:51" ht="63" hidden="1">
      <c r="A345" s="8" t="s">
        <v>22</v>
      </c>
      <c r="B345" s="31" t="s">
        <v>274</v>
      </c>
      <c r="C345" s="18" t="s">
        <v>977</v>
      </c>
      <c r="D345" s="18" t="s">
        <v>981</v>
      </c>
      <c r="E345" s="18" t="s">
        <v>982</v>
      </c>
      <c r="F345" s="8" t="s">
        <v>2592</v>
      </c>
      <c r="G345" s="18" t="s">
        <v>62</v>
      </c>
      <c r="H345" s="18" t="s">
        <v>983</v>
      </c>
      <c r="I345" s="18" t="s">
        <v>110</v>
      </c>
      <c r="J345" s="8" t="s">
        <v>1090</v>
      </c>
      <c r="K345" s="8" t="s">
        <v>2634</v>
      </c>
      <c r="L345" s="283"/>
      <c r="M345" s="8"/>
      <c r="N345" s="8"/>
      <c r="O345" s="281"/>
      <c r="P345" s="8"/>
      <c r="Q345" s="132"/>
      <c r="R345" s="38"/>
      <c r="S345" s="8"/>
      <c r="T345" s="8"/>
      <c r="U345" s="8"/>
      <c r="V345" s="8"/>
      <c r="W345" s="8"/>
      <c r="X345" s="8"/>
      <c r="Y345" s="8"/>
      <c r="Z345" s="8"/>
      <c r="AA345" s="8"/>
    </row>
    <row r="346" spans="1:51" ht="78.75" hidden="1">
      <c r="A346" s="8" t="s">
        <v>22</v>
      </c>
      <c r="B346" s="31" t="s">
        <v>587</v>
      </c>
      <c r="C346" s="18" t="s">
        <v>984</v>
      </c>
      <c r="D346" s="18" t="s">
        <v>985</v>
      </c>
      <c r="E346" s="18" t="s">
        <v>986</v>
      </c>
      <c r="F346" s="20"/>
      <c r="G346" s="24" t="s">
        <v>62</v>
      </c>
      <c r="H346" s="24" t="s">
        <v>591</v>
      </c>
      <c r="I346" s="25">
        <v>1</v>
      </c>
      <c r="J346" s="20"/>
      <c r="K346" s="20"/>
      <c r="L346" s="278"/>
      <c r="M346" s="20"/>
      <c r="N346" s="20"/>
      <c r="O346" s="279"/>
      <c r="P346" s="20"/>
      <c r="Q346" s="132"/>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t="s">
        <v>2592</v>
      </c>
      <c r="G347" s="18" t="s">
        <v>62</v>
      </c>
      <c r="H347" s="18" t="s">
        <v>591</v>
      </c>
      <c r="I347" s="23">
        <v>1</v>
      </c>
      <c r="J347" s="8" t="s">
        <v>8</v>
      </c>
      <c r="K347" s="8"/>
      <c r="L347" s="283" t="s">
        <v>1380</v>
      </c>
      <c r="M347" s="8" t="s">
        <v>9</v>
      </c>
      <c r="N347" s="8"/>
      <c r="O347" s="281"/>
      <c r="P347" s="8"/>
      <c r="Q347" s="132"/>
      <c r="R347" s="38"/>
      <c r="S347" s="8"/>
      <c r="T347" s="8"/>
      <c r="U347" s="8"/>
      <c r="V347" s="8"/>
      <c r="W347" s="8"/>
      <c r="X347" s="8"/>
      <c r="Y347" s="8"/>
      <c r="Z347" s="8"/>
      <c r="AA347" s="8"/>
    </row>
    <row r="348" spans="1:51" ht="63" hidden="1">
      <c r="A348" s="8" t="s">
        <v>22</v>
      </c>
      <c r="B348" s="31" t="s">
        <v>587</v>
      </c>
      <c r="C348" s="18" t="s">
        <v>984</v>
      </c>
      <c r="D348" s="18" t="s">
        <v>989</v>
      </c>
      <c r="E348" s="69" t="s">
        <v>990</v>
      </c>
      <c r="F348" s="8" t="s">
        <v>2592</v>
      </c>
      <c r="G348" s="18" t="s">
        <v>62</v>
      </c>
      <c r="H348" s="18" t="s">
        <v>591</v>
      </c>
      <c r="I348" s="23">
        <v>1</v>
      </c>
      <c r="J348" s="8" t="s">
        <v>8</v>
      </c>
      <c r="K348" s="8"/>
      <c r="L348" s="283" t="s">
        <v>1380</v>
      </c>
      <c r="M348" s="8" t="s">
        <v>9</v>
      </c>
      <c r="N348" s="8"/>
      <c r="O348" s="281"/>
      <c r="P348" s="8"/>
      <c r="Q348" s="132"/>
      <c r="R348" s="38"/>
      <c r="S348" s="8"/>
      <c r="T348" s="8"/>
      <c r="U348" s="8"/>
      <c r="V348" s="8"/>
      <c r="W348" s="8"/>
      <c r="X348" s="8"/>
      <c r="Y348" s="8"/>
      <c r="Z348" s="8"/>
      <c r="AA348" s="8"/>
    </row>
    <row r="349" spans="1:51" ht="63" hidden="1">
      <c r="A349" s="8" t="s">
        <v>22</v>
      </c>
      <c r="B349" s="31" t="s">
        <v>587</v>
      </c>
      <c r="C349" s="18" t="s">
        <v>984</v>
      </c>
      <c r="D349" s="18" t="s">
        <v>991</v>
      </c>
      <c r="E349" s="69" t="s">
        <v>992</v>
      </c>
      <c r="F349" s="8" t="s">
        <v>2592</v>
      </c>
      <c r="G349" s="18" t="s">
        <v>62</v>
      </c>
      <c r="H349" s="18" t="s">
        <v>591</v>
      </c>
      <c r="I349" s="23">
        <v>1</v>
      </c>
      <c r="J349" s="8" t="s">
        <v>1090</v>
      </c>
      <c r="K349" s="8"/>
      <c r="L349" s="283"/>
      <c r="M349" s="8" t="s">
        <v>9</v>
      </c>
      <c r="N349" s="8"/>
      <c r="O349" s="281"/>
      <c r="P349" s="8"/>
      <c r="Q349" s="132"/>
      <c r="R349" s="38"/>
      <c r="S349" s="8"/>
      <c r="T349" s="8"/>
      <c r="U349" s="8"/>
      <c r="V349" s="8"/>
      <c r="W349" s="8"/>
      <c r="X349" s="8"/>
      <c r="Y349" s="8"/>
      <c r="Z349" s="8"/>
      <c r="AA349" s="8"/>
    </row>
    <row r="350" spans="1:51" ht="63" hidden="1">
      <c r="A350" s="8" t="s">
        <v>22</v>
      </c>
      <c r="B350" s="31" t="s">
        <v>587</v>
      </c>
      <c r="C350" s="18" t="s">
        <v>984</v>
      </c>
      <c r="D350" s="18" t="s">
        <v>993</v>
      </c>
      <c r="E350" s="69" t="s">
        <v>994</v>
      </c>
      <c r="F350" s="8" t="s">
        <v>2592</v>
      </c>
      <c r="G350" s="18" t="s">
        <v>62</v>
      </c>
      <c r="H350" s="18" t="s">
        <v>591</v>
      </c>
      <c r="I350" s="23">
        <v>1</v>
      </c>
      <c r="J350" s="8" t="s">
        <v>8</v>
      </c>
      <c r="K350" s="8"/>
      <c r="L350" s="283" t="s">
        <v>1380</v>
      </c>
      <c r="M350" s="8" t="s">
        <v>9</v>
      </c>
      <c r="N350" s="8"/>
      <c r="O350" s="281"/>
      <c r="P350" s="8"/>
      <c r="Q350" s="132"/>
      <c r="R350" s="38"/>
      <c r="S350" s="8"/>
      <c r="T350" s="8"/>
      <c r="U350" s="8"/>
      <c r="V350" s="8"/>
      <c r="W350" s="8"/>
      <c r="X350" s="8"/>
      <c r="Y350" s="8"/>
      <c r="Z350" s="8"/>
      <c r="AA350" s="8"/>
    </row>
    <row r="351" spans="1:51" ht="63" hidden="1">
      <c r="A351" s="8" t="s">
        <v>22</v>
      </c>
      <c r="B351" s="31" t="s">
        <v>587</v>
      </c>
      <c r="C351" s="18" t="s">
        <v>984</v>
      </c>
      <c r="D351" s="18" t="s">
        <v>995</v>
      </c>
      <c r="E351" s="69" t="s">
        <v>996</v>
      </c>
      <c r="F351" s="8" t="s">
        <v>2592</v>
      </c>
      <c r="G351" s="18" t="s">
        <v>62</v>
      </c>
      <c r="H351" s="18" t="s">
        <v>591</v>
      </c>
      <c r="I351" s="23">
        <v>1</v>
      </c>
      <c r="J351" s="8" t="s">
        <v>8</v>
      </c>
      <c r="K351" s="8"/>
      <c r="L351" s="283" t="s">
        <v>1380</v>
      </c>
      <c r="M351" s="8" t="s">
        <v>9</v>
      </c>
      <c r="N351" s="8"/>
      <c r="O351" s="281"/>
      <c r="P351" s="8"/>
      <c r="Q351" s="132"/>
      <c r="R351" s="38"/>
      <c r="S351" s="8"/>
      <c r="T351" s="8"/>
      <c r="U351" s="8"/>
      <c r="V351" s="8"/>
      <c r="W351" s="8"/>
      <c r="X351" s="8"/>
      <c r="Y351" s="8"/>
      <c r="Z351" s="8"/>
      <c r="AA351" s="8"/>
    </row>
    <row r="352" spans="1:51" ht="63" hidden="1">
      <c r="A352" s="8" t="s">
        <v>22</v>
      </c>
      <c r="B352" s="31" t="s">
        <v>587</v>
      </c>
      <c r="C352" s="18" t="s">
        <v>984</v>
      </c>
      <c r="D352" s="18" t="s">
        <v>997</v>
      </c>
      <c r="E352" s="69" t="s">
        <v>998</v>
      </c>
      <c r="F352" s="8" t="s">
        <v>2592</v>
      </c>
      <c r="G352" s="18" t="s">
        <v>62</v>
      </c>
      <c r="H352" s="18" t="s">
        <v>591</v>
      </c>
      <c r="I352" s="23">
        <v>1</v>
      </c>
      <c r="J352" s="8" t="s">
        <v>8</v>
      </c>
      <c r="K352" s="8"/>
      <c r="L352" s="283" t="s">
        <v>1380</v>
      </c>
      <c r="M352" s="8" t="s">
        <v>9</v>
      </c>
      <c r="N352" s="8"/>
      <c r="O352" s="281"/>
      <c r="P352" s="8"/>
      <c r="Q352" s="132"/>
      <c r="R352" s="38"/>
      <c r="S352" s="8"/>
      <c r="T352" s="8"/>
      <c r="U352" s="8"/>
      <c r="V352" s="8"/>
      <c r="W352" s="8"/>
      <c r="X352" s="8"/>
      <c r="Y352" s="8"/>
      <c r="Z352" s="8"/>
      <c r="AA352" s="8"/>
    </row>
    <row r="353" spans="1:27" ht="63" hidden="1">
      <c r="A353" s="8" t="s">
        <v>22</v>
      </c>
      <c r="B353" s="31" t="s">
        <v>587</v>
      </c>
      <c r="C353" s="18" t="s">
        <v>984</v>
      </c>
      <c r="D353" s="18" t="s">
        <v>999</v>
      </c>
      <c r="E353" s="69" t="s">
        <v>1000</v>
      </c>
      <c r="F353" s="8" t="s">
        <v>2592</v>
      </c>
      <c r="G353" s="18" t="s">
        <v>62</v>
      </c>
      <c r="H353" s="18" t="s">
        <v>591</v>
      </c>
      <c r="I353" s="23">
        <v>1</v>
      </c>
      <c r="J353" s="8" t="s">
        <v>8</v>
      </c>
      <c r="K353" s="8"/>
      <c r="L353" s="283" t="s">
        <v>1380</v>
      </c>
      <c r="M353" s="8" t="s">
        <v>9</v>
      </c>
      <c r="N353" s="8"/>
      <c r="O353" s="281"/>
      <c r="P353" s="8"/>
      <c r="Q353" s="132"/>
      <c r="R353" s="38"/>
      <c r="S353" s="8"/>
      <c r="T353" s="8"/>
      <c r="U353" s="8"/>
      <c r="V353" s="8"/>
      <c r="W353" s="8"/>
      <c r="X353" s="8"/>
      <c r="Y353" s="8"/>
      <c r="Z353" s="8"/>
      <c r="AA353" s="8"/>
    </row>
    <row r="354" spans="1:27" ht="63" hidden="1">
      <c r="A354" s="8" t="s">
        <v>22</v>
      </c>
      <c r="B354" s="31" t="s">
        <v>587</v>
      </c>
      <c r="C354" s="18" t="s">
        <v>984</v>
      </c>
      <c r="D354" s="18" t="s">
        <v>1001</v>
      </c>
      <c r="E354" s="69" t="s">
        <v>1002</v>
      </c>
      <c r="F354" s="8" t="s">
        <v>2592</v>
      </c>
      <c r="G354" s="18" t="s">
        <v>62</v>
      </c>
      <c r="H354" s="18" t="s">
        <v>591</v>
      </c>
      <c r="I354" s="23">
        <v>1</v>
      </c>
      <c r="J354" s="8" t="s">
        <v>8</v>
      </c>
      <c r="K354" s="8"/>
      <c r="L354" s="283" t="s">
        <v>1380</v>
      </c>
      <c r="M354" s="8" t="s">
        <v>9</v>
      </c>
      <c r="N354" s="8"/>
      <c r="O354" s="281"/>
      <c r="P354" s="8"/>
      <c r="Q354" s="132"/>
      <c r="R354" s="38"/>
      <c r="S354" s="8"/>
      <c r="T354" s="8"/>
      <c r="U354" s="8"/>
      <c r="V354" s="8"/>
      <c r="W354" s="8"/>
      <c r="X354" s="8"/>
      <c r="Y354" s="8"/>
      <c r="Z354" s="8"/>
      <c r="AA354" s="8"/>
    </row>
    <row r="355" spans="1:27" ht="63" hidden="1">
      <c r="A355" s="8" t="s">
        <v>22</v>
      </c>
      <c r="B355" s="31" t="s">
        <v>587</v>
      </c>
      <c r="C355" s="18" t="s">
        <v>984</v>
      </c>
      <c r="D355" s="18" t="s">
        <v>1003</v>
      </c>
      <c r="E355" s="69" t="s">
        <v>1004</v>
      </c>
      <c r="F355" s="8" t="s">
        <v>2592</v>
      </c>
      <c r="G355" s="18" t="s">
        <v>62</v>
      </c>
      <c r="H355" s="18" t="s">
        <v>591</v>
      </c>
      <c r="I355" s="23">
        <v>1</v>
      </c>
      <c r="J355" s="8" t="s">
        <v>8</v>
      </c>
      <c r="K355" s="8"/>
      <c r="L355" s="283" t="s">
        <v>1380</v>
      </c>
      <c r="M355" s="8" t="s">
        <v>9</v>
      </c>
      <c r="N355" s="8"/>
      <c r="O355" s="281"/>
      <c r="P355" s="8"/>
      <c r="Q355" s="132"/>
      <c r="R355" s="38"/>
      <c r="S355" s="8"/>
      <c r="T355" s="8"/>
      <c r="U355" s="8"/>
      <c r="V355" s="8"/>
      <c r="W355" s="8"/>
      <c r="X355" s="8"/>
      <c r="Y355" s="8"/>
      <c r="Z355" s="8"/>
      <c r="AA355" s="8"/>
    </row>
    <row r="356" spans="1:27" ht="63" hidden="1">
      <c r="A356" s="8" t="s">
        <v>22</v>
      </c>
      <c r="B356" s="31" t="s">
        <v>587</v>
      </c>
      <c r="C356" s="18" t="s">
        <v>984</v>
      </c>
      <c r="D356" s="18" t="s">
        <v>1005</v>
      </c>
      <c r="E356" s="69" t="s">
        <v>1006</v>
      </c>
      <c r="F356" s="8" t="s">
        <v>2592</v>
      </c>
      <c r="G356" s="18" t="s">
        <v>62</v>
      </c>
      <c r="H356" s="18" t="s">
        <v>591</v>
      </c>
      <c r="I356" s="23">
        <v>1</v>
      </c>
      <c r="J356" s="8" t="s">
        <v>8</v>
      </c>
      <c r="K356" s="8"/>
      <c r="L356" s="283" t="s">
        <v>1380</v>
      </c>
      <c r="M356" s="8" t="s">
        <v>9</v>
      </c>
      <c r="N356" s="8"/>
      <c r="O356" s="281"/>
      <c r="P356" s="8"/>
      <c r="Q356" s="132"/>
      <c r="R356" s="38"/>
      <c r="S356" s="8"/>
      <c r="T356" s="8"/>
      <c r="U356" s="8"/>
      <c r="V356" s="8"/>
      <c r="W356" s="8"/>
      <c r="X356" s="8"/>
      <c r="Y356" s="8"/>
      <c r="Z356" s="8"/>
      <c r="AA356" s="8"/>
    </row>
    <row r="357" spans="1:27" ht="63" hidden="1">
      <c r="A357" s="8" t="s">
        <v>22</v>
      </c>
      <c r="B357" s="31" t="s">
        <v>587</v>
      </c>
      <c r="C357" s="18" t="s">
        <v>984</v>
      </c>
      <c r="D357" s="18" t="s">
        <v>1007</v>
      </c>
      <c r="E357" s="69" t="s">
        <v>1008</v>
      </c>
      <c r="F357" s="8" t="s">
        <v>2592</v>
      </c>
      <c r="G357" s="18" t="s">
        <v>62</v>
      </c>
      <c r="H357" s="18" t="s">
        <v>591</v>
      </c>
      <c r="I357" s="23">
        <v>1</v>
      </c>
      <c r="J357" s="8" t="s">
        <v>8</v>
      </c>
      <c r="K357" s="8"/>
      <c r="L357" s="283" t="s">
        <v>1380</v>
      </c>
      <c r="M357" s="8" t="s">
        <v>9</v>
      </c>
      <c r="N357" s="8"/>
      <c r="O357" s="281"/>
      <c r="P357" s="8"/>
      <c r="Q357" s="132"/>
      <c r="R357" s="38"/>
      <c r="S357" s="8"/>
      <c r="T357" s="8"/>
      <c r="U357" s="8"/>
      <c r="V357" s="8"/>
      <c r="W357" s="8"/>
      <c r="X357" s="8"/>
      <c r="Y357" s="8"/>
      <c r="Z357" s="8"/>
      <c r="AA357" s="8"/>
    </row>
    <row r="358" spans="1:27" ht="63" hidden="1">
      <c r="A358" s="8" t="s">
        <v>22</v>
      </c>
      <c r="B358" s="31" t="s">
        <v>587</v>
      </c>
      <c r="C358" s="18" t="s">
        <v>984</v>
      </c>
      <c r="D358" s="18" t="s">
        <v>1009</v>
      </c>
      <c r="E358" s="69" t="s">
        <v>1010</v>
      </c>
      <c r="F358" s="8" t="s">
        <v>2592</v>
      </c>
      <c r="G358" s="18" t="s">
        <v>62</v>
      </c>
      <c r="H358" s="18" t="s">
        <v>591</v>
      </c>
      <c r="I358" s="23">
        <v>1</v>
      </c>
      <c r="J358" s="8" t="s">
        <v>8</v>
      </c>
      <c r="K358" s="8"/>
      <c r="L358" s="283" t="s">
        <v>1380</v>
      </c>
      <c r="M358" s="8" t="s">
        <v>9</v>
      </c>
      <c r="N358" s="8"/>
      <c r="O358" s="281"/>
      <c r="P358" s="8"/>
      <c r="Q358" s="132"/>
      <c r="R358" s="38"/>
      <c r="S358" s="8"/>
      <c r="T358" s="8"/>
      <c r="U358" s="8"/>
      <c r="V358" s="8"/>
      <c r="W358" s="8"/>
      <c r="X358" s="8"/>
      <c r="Y358" s="8"/>
      <c r="Z358" s="8"/>
      <c r="AA358" s="8"/>
    </row>
    <row r="359" spans="1:27" ht="63" hidden="1">
      <c r="A359" s="8" t="s">
        <v>22</v>
      </c>
      <c r="B359" s="31" t="s">
        <v>587</v>
      </c>
      <c r="C359" s="18" t="s">
        <v>984</v>
      </c>
      <c r="D359" s="18" t="s">
        <v>1011</v>
      </c>
      <c r="E359" s="69" t="s">
        <v>1012</v>
      </c>
      <c r="F359" s="8" t="s">
        <v>2592</v>
      </c>
      <c r="G359" s="18" t="s">
        <v>62</v>
      </c>
      <c r="H359" s="18" t="s">
        <v>591</v>
      </c>
      <c r="I359" s="23">
        <v>1</v>
      </c>
      <c r="J359" s="8" t="s">
        <v>8</v>
      </c>
      <c r="K359" s="8"/>
      <c r="L359" s="283" t="s">
        <v>1380</v>
      </c>
      <c r="M359" s="8" t="s">
        <v>9</v>
      </c>
      <c r="N359" s="8"/>
      <c r="O359" s="281"/>
      <c r="P359" s="8"/>
      <c r="Q359" s="132"/>
      <c r="R359" s="38"/>
      <c r="S359" s="8"/>
      <c r="T359" s="8"/>
      <c r="U359" s="8"/>
      <c r="V359" s="8"/>
      <c r="W359" s="8"/>
      <c r="X359" s="8"/>
      <c r="Y359" s="8"/>
      <c r="Z359" s="8"/>
      <c r="AA359" s="8"/>
    </row>
    <row r="360" spans="1:27" ht="63" hidden="1">
      <c r="A360" s="8" t="s">
        <v>22</v>
      </c>
      <c r="B360" s="31" t="s">
        <v>587</v>
      </c>
      <c r="C360" s="18" t="s">
        <v>984</v>
      </c>
      <c r="D360" s="18" t="s">
        <v>1013</v>
      </c>
      <c r="E360" s="69" t="s">
        <v>1014</v>
      </c>
      <c r="F360" s="8" t="s">
        <v>2592</v>
      </c>
      <c r="G360" s="18" t="s">
        <v>62</v>
      </c>
      <c r="H360" s="18" t="s">
        <v>591</v>
      </c>
      <c r="I360" s="23">
        <v>1</v>
      </c>
      <c r="J360" s="8" t="s">
        <v>8</v>
      </c>
      <c r="K360" s="8"/>
      <c r="L360" s="283" t="s">
        <v>1380</v>
      </c>
      <c r="M360" s="8" t="s">
        <v>9</v>
      </c>
      <c r="N360" s="8"/>
      <c r="O360" s="281"/>
      <c r="P360" s="8"/>
      <c r="Q360" s="132"/>
      <c r="R360" s="38"/>
      <c r="S360" s="8"/>
      <c r="T360" s="8"/>
      <c r="U360" s="8"/>
      <c r="V360" s="8"/>
      <c r="W360" s="8"/>
      <c r="X360" s="8"/>
      <c r="Y360" s="8"/>
      <c r="Z360" s="8"/>
      <c r="AA360" s="8"/>
    </row>
    <row r="361" spans="1:27" ht="63" hidden="1">
      <c r="A361" s="8" t="s">
        <v>22</v>
      </c>
      <c r="B361" s="31" t="s">
        <v>587</v>
      </c>
      <c r="C361" s="18" t="s">
        <v>984</v>
      </c>
      <c r="D361" s="18" t="s">
        <v>1015</v>
      </c>
      <c r="E361" s="69" t="s">
        <v>1016</v>
      </c>
      <c r="F361" s="8" t="s">
        <v>2592</v>
      </c>
      <c r="G361" s="18" t="s">
        <v>62</v>
      </c>
      <c r="H361" s="18" t="s">
        <v>591</v>
      </c>
      <c r="I361" s="23">
        <v>1</v>
      </c>
      <c r="J361" s="8" t="s">
        <v>8</v>
      </c>
      <c r="K361" s="8"/>
      <c r="L361" s="283" t="s">
        <v>1380</v>
      </c>
      <c r="M361" s="8" t="s">
        <v>9</v>
      </c>
      <c r="N361" s="8"/>
      <c r="O361" s="281"/>
      <c r="P361" s="8"/>
      <c r="Q361" s="132"/>
      <c r="R361" s="38"/>
      <c r="S361" s="8"/>
      <c r="T361" s="8"/>
      <c r="U361" s="8"/>
      <c r="V361" s="8"/>
      <c r="W361" s="8"/>
      <c r="X361" s="8"/>
      <c r="Y361" s="8"/>
      <c r="Z361" s="8"/>
      <c r="AA361" s="8"/>
    </row>
    <row r="362" spans="1:27" ht="63" hidden="1">
      <c r="A362" s="8" t="s">
        <v>22</v>
      </c>
      <c r="B362" s="31" t="s">
        <v>587</v>
      </c>
      <c r="C362" s="18" t="s">
        <v>984</v>
      </c>
      <c r="D362" s="18" t="s">
        <v>1017</v>
      </c>
      <c r="E362" s="69" t="s">
        <v>1018</v>
      </c>
      <c r="F362" s="8" t="s">
        <v>2592</v>
      </c>
      <c r="G362" s="18" t="s">
        <v>62</v>
      </c>
      <c r="H362" s="18" t="s">
        <v>591</v>
      </c>
      <c r="I362" s="23">
        <v>1</v>
      </c>
      <c r="J362" s="8" t="s">
        <v>8</v>
      </c>
      <c r="K362" s="8"/>
      <c r="L362" s="283" t="s">
        <v>1380</v>
      </c>
      <c r="M362" s="8" t="s">
        <v>9</v>
      </c>
      <c r="N362" s="8"/>
      <c r="O362" s="281"/>
      <c r="P362" s="8"/>
      <c r="Q362" s="132"/>
      <c r="R362" s="38"/>
      <c r="S362" s="8"/>
      <c r="T362" s="8"/>
      <c r="U362" s="8"/>
      <c r="V362" s="8"/>
      <c r="W362" s="8"/>
      <c r="X362" s="8"/>
      <c r="Y362" s="8"/>
      <c r="Z362" s="8"/>
      <c r="AA362" s="8"/>
    </row>
    <row r="363" spans="1:27" ht="63" hidden="1">
      <c r="A363" s="8" t="s">
        <v>22</v>
      </c>
      <c r="B363" s="31" t="s">
        <v>587</v>
      </c>
      <c r="C363" s="18" t="s">
        <v>984</v>
      </c>
      <c r="D363" s="18" t="s">
        <v>1019</v>
      </c>
      <c r="E363" s="69" t="s">
        <v>1020</v>
      </c>
      <c r="F363" s="8" t="s">
        <v>2592</v>
      </c>
      <c r="G363" s="18" t="s">
        <v>62</v>
      </c>
      <c r="H363" s="18" t="s">
        <v>591</v>
      </c>
      <c r="I363" s="23">
        <v>1</v>
      </c>
      <c r="J363" s="8" t="s">
        <v>8</v>
      </c>
      <c r="K363" s="8"/>
      <c r="L363" s="283" t="s">
        <v>1380</v>
      </c>
      <c r="M363" s="8" t="s">
        <v>9</v>
      </c>
      <c r="N363" s="8"/>
      <c r="O363" s="281"/>
      <c r="P363" s="8"/>
      <c r="Q363" s="132"/>
      <c r="R363" s="38"/>
      <c r="S363" s="8"/>
      <c r="T363" s="8"/>
      <c r="U363" s="8"/>
      <c r="V363" s="8"/>
      <c r="W363" s="8"/>
      <c r="X363" s="8"/>
      <c r="Y363" s="8"/>
      <c r="Z363" s="8"/>
      <c r="AA363" s="8"/>
    </row>
    <row r="364" spans="1:27" ht="63" hidden="1">
      <c r="A364" s="8" t="s">
        <v>22</v>
      </c>
      <c r="B364" s="31" t="s">
        <v>587</v>
      </c>
      <c r="C364" s="18" t="s">
        <v>984</v>
      </c>
      <c r="D364" s="18" t="s">
        <v>1021</v>
      </c>
      <c r="E364" s="69" t="s">
        <v>1022</v>
      </c>
      <c r="F364" s="8" t="s">
        <v>2592</v>
      </c>
      <c r="G364" s="18" t="s">
        <v>62</v>
      </c>
      <c r="H364" s="18" t="s">
        <v>591</v>
      </c>
      <c r="I364" s="23">
        <v>1</v>
      </c>
      <c r="J364" s="8" t="s">
        <v>8</v>
      </c>
      <c r="K364" s="8"/>
      <c r="L364" s="283" t="s">
        <v>1380</v>
      </c>
      <c r="M364" s="8" t="s">
        <v>9</v>
      </c>
      <c r="N364" s="8"/>
      <c r="O364" s="281"/>
      <c r="P364" s="8"/>
      <c r="Q364" s="132"/>
      <c r="R364" s="38"/>
      <c r="S364" s="8"/>
      <c r="T364" s="8"/>
      <c r="U364" s="8"/>
      <c r="V364" s="8"/>
      <c r="W364" s="8"/>
      <c r="X364" s="8"/>
      <c r="Y364" s="8"/>
      <c r="Z364" s="8"/>
      <c r="AA364" s="8"/>
    </row>
    <row r="365" spans="1:27" ht="63" hidden="1">
      <c r="A365" s="8" t="s">
        <v>22</v>
      </c>
      <c r="B365" s="31" t="s">
        <v>587</v>
      </c>
      <c r="C365" s="18" t="s">
        <v>984</v>
      </c>
      <c r="D365" s="18" t="s">
        <v>1023</v>
      </c>
      <c r="E365" s="69" t="s">
        <v>1024</v>
      </c>
      <c r="F365" s="8" t="s">
        <v>2592</v>
      </c>
      <c r="G365" s="18" t="s">
        <v>62</v>
      </c>
      <c r="H365" s="18" t="s">
        <v>591</v>
      </c>
      <c r="I365" s="23">
        <v>1</v>
      </c>
      <c r="J365" s="8" t="s">
        <v>8</v>
      </c>
      <c r="K365" s="8"/>
      <c r="L365" s="283" t="s">
        <v>1380</v>
      </c>
      <c r="M365" s="8" t="s">
        <v>9</v>
      </c>
      <c r="N365" s="8"/>
      <c r="O365" s="281"/>
      <c r="P365" s="8"/>
      <c r="Q365" s="132"/>
      <c r="R365" s="38"/>
      <c r="S365" s="8"/>
      <c r="T365" s="8"/>
      <c r="U365" s="8"/>
      <c r="V365" s="8"/>
      <c r="W365" s="8"/>
      <c r="X365" s="8"/>
      <c r="Y365" s="8"/>
      <c r="Z365" s="8"/>
      <c r="AA365" s="8"/>
    </row>
    <row r="366" spans="1:27" ht="63" hidden="1">
      <c r="A366" s="8" t="s">
        <v>22</v>
      </c>
      <c r="B366" s="31" t="s">
        <v>587</v>
      </c>
      <c r="C366" s="18" t="s">
        <v>984</v>
      </c>
      <c r="D366" s="18" t="s">
        <v>1025</v>
      </c>
      <c r="E366" s="69" t="s">
        <v>1026</v>
      </c>
      <c r="F366" s="8" t="s">
        <v>2592</v>
      </c>
      <c r="G366" s="18" t="s">
        <v>62</v>
      </c>
      <c r="H366" s="18" t="s">
        <v>591</v>
      </c>
      <c r="I366" s="23">
        <v>1</v>
      </c>
      <c r="J366" s="8" t="s">
        <v>8</v>
      </c>
      <c r="K366" s="8"/>
      <c r="L366" s="283" t="s">
        <v>1380</v>
      </c>
      <c r="M366" s="8" t="s">
        <v>9</v>
      </c>
      <c r="N366" s="8"/>
      <c r="O366" s="281"/>
      <c r="P366" s="8"/>
      <c r="Q366" s="132"/>
      <c r="R366" s="38"/>
      <c r="S366" s="8"/>
      <c r="T366" s="8"/>
      <c r="U366" s="8"/>
      <c r="V366" s="8"/>
      <c r="W366" s="8"/>
      <c r="X366" s="8"/>
      <c r="Y366" s="8"/>
      <c r="Z366" s="8"/>
      <c r="AA366" s="8"/>
    </row>
    <row r="367" spans="1:27" ht="63" hidden="1">
      <c r="A367" s="8" t="s">
        <v>22</v>
      </c>
      <c r="B367" s="31" t="s">
        <v>587</v>
      </c>
      <c r="C367" s="18" t="s">
        <v>984</v>
      </c>
      <c r="D367" s="18" t="s">
        <v>1027</v>
      </c>
      <c r="E367" s="69" t="s">
        <v>1028</v>
      </c>
      <c r="F367" s="8" t="s">
        <v>2592</v>
      </c>
      <c r="G367" s="18" t="s">
        <v>62</v>
      </c>
      <c r="H367" s="18" t="s">
        <v>591</v>
      </c>
      <c r="I367" s="23">
        <v>1</v>
      </c>
      <c r="J367" s="8" t="s">
        <v>8</v>
      </c>
      <c r="K367" s="8"/>
      <c r="L367" s="283" t="s">
        <v>1380</v>
      </c>
      <c r="M367" s="8" t="s">
        <v>9</v>
      </c>
      <c r="N367" s="8"/>
      <c r="O367" s="281"/>
      <c r="P367" s="8"/>
      <c r="Q367" s="132"/>
      <c r="R367" s="38"/>
      <c r="S367" s="8"/>
      <c r="T367" s="8"/>
      <c r="U367" s="8"/>
      <c r="V367" s="8"/>
      <c r="W367" s="8"/>
      <c r="X367" s="8"/>
      <c r="Y367" s="8"/>
      <c r="Z367" s="8"/>
      <c r="AA367" s="8"/>
    </row>
    <row r="368" spans="1:27" ht="63" hidden="1">
      <c r="A368" s="8" t="s">
        <v>22</v>
      </c>
      <c r="B368" s="31" t="s">
        <v>587</v>
      </c>
      <c r="C368" s="18" t="s">
        <v>984</v>
      </c>
      <c r="D368" s="18" t="s">
        <v>1029</v>
      </c>
      <c r="E368" s="69" t="s">
        <v>1030</v>
      </c>
      <c r="F368" s="8" t="s">
        <v>2592</v>
      </c>
      <c r="G368" s="18" t="s">
        <v>62</v>
      </c>
      <c r="H368" s="18" t="s">
        <v>591</v>
      </c>
      <c r="I368" s="23">
        <v>1</v>
      </c>
      <c r="J368" s="8" t="s">
        <v>8</v>
      </c>
      <c r="K368" s="8"/>
      <c r="L368" s="283" t="s">
        <v>1380</v>
      </c>
      <c r="M368" s="8" t="s">
        <v>9</v>
      </c>
      <c r="N368" s="8"/>
      <c r="O368" s="281"/>
      <c r="P368" s="8"/>
      <c r="Q368" s="132"/>
      <c r="R368" s="38"/>
      <c r="S368" s="8"/>
      <c r="T368" s="8"/>
      <c r="U368" s="8"/>
      <c r="V368" s="8"/>
      <c r="W368" s="8"/>
      <c r="X368" s="8"/>
      <c r="Y368" s="8"/>
      <c r="Z368" s="8"/>
      <c r="AA368" s="8"/>
    </row>
    <row r="369" spans="1:27" ht="63" hidden="1">
      <c r="A369" s="8" t="s">
        <v>22</v>
      </c>
      <c r="B369" s="31" t="s">
        <v>587</v>
      </c>
      <c r="C369" s="18" t="s">
        <v>984</v>
      </c>
      <c r="D369" s="18" t="s">
        <v>1031</v>
      </c>
      <c r="E369" s="69" t="s">
        <v>1032</v>
      </c>
      <c r="F369" s="8" t="s">
        <v>2592</v>
      </c>
      <c r="G369" s="18" t="s">
        <v>62</v>
      </c>
      <c r="H369" s="18" t="s">
        <v>591</v>
      </c>
      <c r="I369" s="23">
        <v>1</v>
      </c>
      <c r="J369" s="8" t="s">
        <v>8</v>
      </c>
      <c r="K369" s="8"/>
      <c r="L369" s="283" t="s">
        <v>1380</v>
      </c>
      <c r="M369" s="8" t="s">
        <v>9</v>
      </c>
      <c r="N369" s="8"/>
      <c r="O369" s="281"/>
      <c r="P369" s="8"/>
      <c r="Q369" s="132"/>
      <c r="R369" s="38"/>
      <c r="S369" s="8"/>
      <c r="T369" s="8"/>
      <c r="U369" s="8"/>
      <c r="V369" s="8"/>
      <c r="W369" s="8"/>
      <c r="X369" s="8"/>
      <c r="Y369" s="8"/>
      <c r="Z369" s="8"/>
      <c r="AA369" s="8"/>
    </row>
    <row r="370" spans="1:27" ht="63" hidden="1">
      <c r="A370" s="8" t="s">
        <v>22</v>
      </c>
      <c r="B370" s="31" t="s">
        <v>587</v>
      </c>
      <c r="C370" s="18" t="s">
        <v>984</v>
      </c>
      <c r="D370" s="18" t="s">
        <v>1033</v>
      </c>
      <c r="E370" s="69" t="s">
        <v>1034</v>
      </c>
      <c r="F370" s="8" t="s">
        <v>2592</v>
      </c>
      <c r="G370" s="18" t="s">
        <v>62</v>
      </c>
      <c r="H370" s="18" t="s">
        <v>591</v>
      </c>
      <c r="I370" s="23">
        <v>1</v>
      </c>
      <c r="J370" s="8" t="s">
        <v>8</v>
      </c>
      <c r="K370" s="8"/>
      <c r="L370" s="283" t="s">
        <v>1380</v>
      </c>
      <c r="M370" s="8" t="s">
        <v>9</v>
      </c>
      <c r="N370" s="8"/>
      <c r="O370" s="281"/>
      <c r="P370" s="8"/>
      <c r="Q370" s="132"/>
      <c r="R370" s="38"/>
      <c r="S370" s="8"/>
      <c r="T370" s="8"/>
      <c r="U370" s="8"/>
      <c r="V370" s="8"/>
      <c r="W370" s="8"/>
      <c r="X370" s="8"/>
      <c r="Y370" s="8"/>
      <c r="Z370" s="8"/>
      <c r="AA370" s="8"/>
    </row>
    <row r="371" spans="1:27" ht="63" hidden="1">
      <c r="A371" s="8" t="s">
        <v>22</v>
      </c>
      <c r="B371" s="31" t="s">
        <v>587</v>
      </c>
      <c r="C371" s="18" t="s">
        <v>984</v>
      </c>
      <c r="D371" s="18" t="s">
        <v>1035</v>
      </c>
      <c r="E371" s="69" t="s">
        <v>1036</v>
      </c>
      <c r="F371" s="8" t="s">
        <v>2592</v>
      </c>
      <c r="G371" s="18" t="s">
        <v>62</v>
      </c>
      <c r="H371" s="18" t="s">
        <v>591</v>
      </c>
      <c r="I371" s="23">
        <v>1</v>
      </c>
      <c r="J371" s="8" t="s">
        <v>8</v>
      </c>
      <c r="K371" s="8"/>
      <c r="L371" s="283" t="s">
        <v>1380</v>
      </c>
      <c r="M371" s="8" t="s">
        <v>9</v>
      </c>
      <c r="N371" s="8"/>
      <c r="O371" s="281"/>
      <c r="P371" s="8"/>
      <c r="Q371" s="132"/>
      <c r="R371" s="38"/>
      <c r="S371" s="8"/>
      <c r="T371" s="8"/>
      <c r="U371" s="8"/>
      <c r="V371" s="8"/>
      <c r="W371" s="8"/>
      <c r="X371" s="8"/>
      <c r="Y371" s="8"/>
      <c r="Z371" s="8"/>
      <c r="AA371" s="8"/>
    </row>
    <row r="372" spans="1:27" ht="63" hidden="1">
      <c r="A372" s="8" t="s">
        <v>22</v>
      </c>
      <c r="B372" s="31" t="s">
        <v>587</v>
      </c>
      <c r="C372" s="18" t="s">
        <v>984</v>
      </c>
      <c r="D372" s="18" t="s">
        <v>1037</v>
      </c>
      <c r="E372" s="69" t="s">
        <v>1038</v>
      </c>
      <c r="F372" s="8" t="s">
        <v>2592</v>
      </c>
      <c r="G372" s="18" t="s">
        <v>62</v>
      </c>
      <c r="H372" s="18" t="s">
        <v>591</v>
      </c>
      <c r="I372" s="23">
        <v>1</v>
      </c>
      <c r="J372" s="8" t="s">
        <v>8</v>
      </c>
      <c r="K372" s="8"/>
      <c r="L372" s="283" t="s">
        <v>1380</v>
      </c>
      <c r="M372" s="8" t="s">
        <v>9</v>
      </c>
      <c r="N372" s="8"/>
      <c r="O372" s="281"/>
      <c r="P372" s="8"/>
      <c r="Q372" s="132"/>
      <c r="R372" s="38"/>
      <c r="S372" s="8"/>
      <c r="T372" s="8"/>
      <c r="U372" s="8"/>
      <c r="V372" s="8"/>
      <c r="W372" s="8"/>
      <c r="X372" s="8"/>
      <c r="Y372" s="8"/>
      <c r="Z372" s="8"/>
      <c r="AA372" s="8"/>
    </row>
    <row r="373" spans="1:27" ht="63" hidden="1">
      <c r="A373" s="8" t="s">
        <v>22</v>
      </c>
      <c r="B373" s="31" t="s">
        <v>587</v>
      </c>
      <c r="C373" s="18" t="s">
        <v>984</v>
      </c>
      <c r="D373" s="18" t="s">
        <v>1039</v>
      </c>
      <c r="E373" s="69" t="s">
        <v>1040</v>
      </c>
      <c r="F373" s="8" t="s">
        <v>2592</v>
      </c>
      <c r="G373" s="18" t="s">
        <v>62</v>
      </c>
      <c r="H373" s="18" t="s">
        <v>591</v>
      </c>
      <c r="I373" s="23">
        <v>1</v>
      </c>
      <c r="J373" s="8" t="s">
        <v>8</v>
      </c>
      <c r="K373" s="8"/>
      <c r="L373" s="283" t="s">
        <v>1380</v>
      </c>
      <c r="M373" s="8" t="s">
        <v>9</v>
      </c>
      <c r="N373" s="8"/>
      <c r="O373" s="281"/>
      <c r="P373" s="8"/>
      <c r="Q373" s="132"/>
      <c r="R373" s="38"/>
      <c r="S373" s="8"/>
      <c r="T373" s="8"/>
      <c r="U373" s="8"/>
      <c r="V373" s="8"/>
      <c r="W373" s="8"/>
      <c r="X373" s="8"/>
      <c r="Y373" s="8"/>
      <c r="Z373" s="8"/>
      <c r="AA373" s="8"/>
    </row>
    <row r="374" spans="1:27" ht="63" hidden="1">
      <c r="A374" s="8" t="s">
        <v>22</v>
      </c>
      <c r="B374" s="31" t="s">
        <v>587</v>
      </c>
      <c r="C374" s="18" t="s">
        <v>984</v>
      </c>
      <c r="D374" s="18" t="s">
        <v>1041</v>
      </c>
      <c r="E374" s="69" t="s">
        <v>1042</v>
      </c>
      <c r="F374" s="8" t="s">
        <v>2592</v>
      </c>
      <c r="G374" s="18" t="s">
        <v>62</v>
      </c>
      <c r="H374" s="18" t="s">
        <v>591</v>
      </c>
      <c r="I374" s="23">
        <v>1</v>
      </c>
      <c r="J374" s="8" t="s">
        <v>8</v>
      </c>
      <c r="K374" s="8"/>
      <c r="L374" s="283" t="s">
        <v>1380</v>
      </c>
      <c r="M374" s="8" t="s">
        <v>9</v>
      </c>
      <c r="N374" s="8"/>
      <c r="O374" s="281"/>
      <c r="P374" s="8"/>
      <c r="Q374" s="132"/>
      <c r="R374" s="38"/>
      <c r="S374" s="8"/>
      <c r="T374" s="8"/>
      <c r="U374" s="8"/>
      <c r="V374" s="8"/>
      <c r="W374" s="8"/>
      <c r="X374" s="8"/>
      <c r="Y374" s="8"/>
      <c r="Z374" s="8"/>
      <c r="AA374" s="8"/>
    </row>
    <row r="375" spans="1:27" ht="63" hidden="1">
      <c r="A375" s="8" t="s">
        <v>22</v>
      </c>
      <c r="B375" s="31" t="s">
        <v>587</v>
      </c>
      <c r="C375" s="18" t="s">
        <v>984</v>
      </c>
      <c r="D375" s="18" t="s">
        <v>1043</v>
      </c>
      <c r="E375" s="69" t="s">
        <v>1044</v>
      </c>
      <c r="F375" s="8" t="s">
        <v>2592</v>
      </c>
      <c r="G375" s="18" t="s">
        <v>62</v>
      </c>
      <c r="H375" s="18" t="s">
        <v>591</v>
      </c>
      <c r="I375" s="23">
        <v>1</v>
      </c>
      <c r="J375" s="8" t="s">
        <v>8</v>
      </c>
      <c r="K375" s="8"/>
      <c r="L375" s="283" t="s">
        <v>1380</v>
      </c>
      <c r="M375" s="8" t="s">
        <v>9</v>
      </c>
      <c r="N375" s="8"/>
      <c r="O375" s="281"/>
      <c r="P375" s="8"/>
      <c r="Q375" s="132"/>
      <c r="R375" s="38"/>
      <c r="S375" s="8"/>
      <c r="T375" s="8"/>
      <c r="U375" s="8"/>
      <c r="V375" s="8"/>
      <c r="W375" s="8"/>
      <c r="X375" s="8"/>
      <c r="Y375" s="8"/>
      <c r="Z375" s="8"/>
      <c r="AA375" s="8"/>
    </row>
    <row r="376" spans="1:27" ht="63" hidden="1">
      <c r="A376" s="8" t="s">
        <v>22</v>
      </c>
      <c r="B376" s="31" t="s">
        <v>587</v>
      </c>
      <c r="C376" s="18" t="s">
        <v>1045</v>
      </c>
      <c r="D376" s="18" t="s">
        <v>1046</v>
      </c>
      <c r="E376" s="18" t="s">
        <v>1047</v>
      </c>
      <c r="F376" s="20"/>
      <c r="G376" s="24" t="s">
        <v>62</v>
      </c>
      <c r="H376" s="20"/>
      <c r="I376" s="20"/>
      <c r="J376" s="20"/>
      <c r="K376" s="20"/>
      <c r="L376" s="278"/>
      <c r="M376" s="20"/>
      <c r="N376" s="20"/>
      <c r="O376" s="279"/>
      <c r="P376" s="20"/>
      <c r="Q376" s="132"/>
      <c r="R376" s="39"/>
      <c r="S376" s="20"/>
      <c r="T376" s="20"/>
      <c r="U376" s="20"/>
      <c r="V376" s="20"/>
      <c r="W376" s="20"/>
      <c r="X376" s="20"/>
      <c r="Y376" s="20"/>
      <c r="Z376" s="20"/>
      <c r="AA376" s="8"/>
    </row>
    <row r="377" spans="1:27" ht="63" hidden="1">
      <c r="A377" s="8" t="s">
        <v>22</v>
      </c>
      <c r="B377" s="31" t="s">
        <v>587</v>
      </c>
      <c r="C377" s="18" t="s">
        <v>1045</v>
      </c>
      <c r="D377" s="18" t="s">
        <v>1048</v>
      </c>
      <c r="E377" s="69" t="s">
        <v>1049</v>
      </c>
      <c r="F377" s="8" t="s">
        <v>2592</v>
      </c>
      <c r="G377" s="18" t="s">
        <v>62</v>
      </c>
      <c r="H377" s="18" t="s">
        <v>735</v>
      </c>
      <c r="I377" s="23">
        <v>1</v>
      </c>
      <c r="J377" s="8" t="s">
        <v>8</v>
      </c>
      <c r="K377" s="8"/>
      <c r="L377" s="283"/>
      <c r="M377" s="8" t="s">
        <v>9</v>
      </c>
      <c r="N377" s="8" t="s">
        <v>2648</v>
      </c>
      <c r="O377" s="281"/>
      <c r="P377" s="8"/>
      <c r="Q377" s="132"/>
      <c r="R377" s="38"/>
      <c r="S377" s="8"/>
      <c r="T377" s="8"/>
      <c r="U377" s="8"/>
      <c r="V377" s="8"/>
      <c r="W377" s="8"/>
      <c r="X377" s="8"/>
      <c r="Y377" s="8"/>
      <c r="Z377" s="8"/>
      <c r="AA377" s="8"/>
    </row>
    <row r="378" spans="1:27" ht="110.25" hidden="1">
      <c r="A378" s="8" t="s">
        <v>22</v>
      </c>
      <c r="B378" s="31" t="s">
        <v>587</v>
      </c>
      <c r="C378" s="18" t="s">
        <v>1045</v>
      </c>
      <c r="D378" s="18" t="s">
        <v>1050</v>
      </c>
      <c r="E378" s="69" t="s">
        <v>1051</v>
      </c>
      <c r="F378" s="8" t="s">
        <v>2592</v>
      </c>
      <c r="G378" s="18" t="s">
        <v>62</v>
      </c>
      <c r="H378" s="18" t="s">
        <v>428</v>
      </c>
      <c r="I378" s="23">
        <v>0.5</v>
      </c>
      <c r="J378" s="8" t="s">
        <v>1191</v>
      </c>
      <c r="K378" s="8" t="s">
        <v>2649</v>
      </c>
      <c r="L378" s="283"/>
      <c r="M378" s="8"/>
      <c r="N378" s="8"/>
      <c r="O378" s="281"/>
      <c r="P378" s="8"/>
      <c r="Q378" s="132"/>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t="s">
        <v>2592</v>
      </c>
      <c r="G379" s="18" t="s">
        <v>58</v>
      </c>
      <c r="H379" s="18" t="s">
        <v>623</v>
      </c>
      <c r="I379" s="23">
        <v>0.5</v>
      </c>
      <c r="J379" s="8" t="s">
        <v>1191</v>
      </c>
      <c r="K379" s="8"/>
      <c r="L379" s="283"/>
      <c r="M379" s="8" t="s">
        <v>11</v>
      </c>
      <c r="N379" s="8"/>
      <c r="O379" s="281"/>
      <c r="P379" s="8"/>
      <c r="Q379" s="132"/>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t="s">
        <v>2592</v>
      </c>
      <c r="G380" s="18" t="s">
        <v>62</v>
      </c>
      <c r="H380" s="18" t="s">
        <v>1057</v>
      </c>
      <c r="I380" s="18" t="s">
        <v>221</v>
      </c>
      <c r="J380" s="8" t="s">
        <v>1191</v>
      </c>
      <c r="K380" s="8"/>
      <c r="L380" s="283"/>
      <c r="M380" s="8" t="s">
        <v>11</v>
      </c>
      <c r="N380" s="8"/>
      <c r="O380" s="281"/>
      <c r="P380" s="8"/>
      <c r="Q380" s="132"/>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t="s">
        <v>2592</v>
      </c>
      <c r="G381" s="18" t="s">
        <v>62</v>
      </c>
      <c r="H381" s="18" t="s">
        <v>1061</v>
      </c>
      <c r="I381" s="23">
        <v>0.5</v>
      </c>
      <c r="J381" s="8" t="s">
        <v>1090</v>
      </c>
      <c r="K381" s="8"/>
      <c r="L381" s="283"/>
      <c r="M381" s="8"/>
      <c r="N381" s="8"/>
      <c r="O381" s="281"/>
      <c r="P381" s="8"/>
      <c r="Q381" s="132"/>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t="s">
        <v>2592</v>
      </c>
      <c r="G383" s="18" t="s">
        <v>62</v>
      </c>
      <c r="H383" s="18" t="s">
        <v>1066</v>
      </c>
      <c r="I383" s="18" t="s">
        <v>1067</v>
      </c>
      <c r="J383" s="8" t="s">
        <v>1090</v>
      </c>
      <c r="K383" s="8"/>
      <c r="L383" s="283"/>
      <c r="M383" s="8"/>
      <c r="N383" s="8"/>
      <c r="O383" s="281"/>
      <c r="P383" s="8"/>
      <c r="Q383" s="132"/>
      <c r="R383" s="38"/>
      <c r="S383" s="8"/>
      <c r="T383" s="8"/>
      <c r="U383" s="8"/>
      <c r="V383" s="8"/>
      <c r="W383" s="8"/>
      <c r="X383" s="8"/>
      <c r="Y383" s="8"/>
      <c r="Z383" s="8"/>
      <c r="AA383" s="8"/>
    </row>
    <row r="384" spans="1:27" ht="126" hidden="1">
      <c r="A384" s="8" t="s">
        <v>24</v>
      </c>
      <c r="B384" s="31" t="s">
        <v>54</v>
      </c>
      <c r="C384" s="18" t="s">
        <v>1068</v>
      </c>
      <c r="D384" s="18" t="s">
        <v>1069</v>
      </c>
      <c r="E384" s="18" t="s">
        <v>1070</v>
      </c>
      <c r="F384" s="8" t="s">
        <v>2592</v>
      </c>
      <c r="G384" s="18" t="s">
        <v>62</v>
      </c>
      <c r="H384" s="18" t="s">
        <v>1071</v>
      </c>
      <c r="I384" s="18" t="s">
        <v>1072</v>
      </c>
      <c r="J384" s="8" t="s">
        <v>1090</v>
      </c>
      <c r="K384" s="8"/>
      <c r="L384" s="283"/>
      <c r="M384" s="8"/>
      <c r="N384" s="8"/>
      <c r="O384" s="281"/>
      <c r="P384" s="8"/>
      <c r="Q384" s="132"/>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t="s">
        <v>2590</v>
      </c>
      <c r="G385" s="18" t="s">
        <v>62</v>
      </c>
      <c r="H385" s="18" t="s">
        <v>182</v>
      </c>
      <c r="I385" s="23">
        <v>1</v>
      </c>
      <c r="J385" s="8" t="s">
        <v>8</v>
      </c>
      <c r="K385" s="8" t="s">
        <v>2650</v>
      </c>
      <c r="L385" s="283"/>
      <c r="M385" s="8" t="s">
        <v>10</v>
      </c>
      <c r="N385" s="8"/>
      <c r="O385" s="281"/>
      <c r="P385" s="8"/>
      <c r="Q385" s="132"/>
      <c r="R385" s="38"/>
      <c r="S385" s="8"/>
      <c r="T385" s="8"/>
      <c r="U385" s="8"/>
      <c r="V385" s="8"/>
      <c r="W385" s="8"/>
      <c r="X385" s="8"/>
      <c r="Y385" s="8"/>
      <c r="Z385" s="8"/>
      <c r="AA385" s="8"/>
    </row>
    <row r="386" spans="1:51" s="2" customFormat="1" ht="31.5" hidden="1">
      <c r="A386" s="20" t="s">
        <v>24</v>
      </c>
      <c r="B386" s="32" t="s">
        <v>54</v>
      </c>
      <c r="C386" s="24" t="s">
        <v>1075</v>
      </c>
      <c r="D386" s="19" t="s">
        <v>582</v>
      </c>
      <c r="E386" s="24" t="s">
        <v>582</v>
      </c>
      <c r="F386" s="24" t="s">
        <v>582</v>
      </c>
      <c r="G386" s="19" t="s">
        <v>582</v>
      </c>
      <c r="H386" s="19" t="s">
        <v>582</v>
      </c>
      <c r="I386" s="19" t="s">
        <v>582</v>
      </c>
      <c r="J386" s="19" t="s">
        <v>582</v>
      </c>
      <c r="K386" s="19" t="s">
        <v>582</v>
      </c>
      <c r="L386" s="19" t="s">
        <v>582</v>
      </c>
      <c r="M386" s="19" t="s">
        <v>582</v>
      </c>
      <c r="N386" s="19" t="s">
        <v>582</v>
      </c>
      <c r="O386" s="19" t="s">
        <v>582</v>
      </c>
      <c r="P386" s="19" t="s">
        <v>582</v>
      </c>
      <c r="Q386" s="48"/>
      <c r="R386" s="44" t="s">
        <v>582</v>
      </c>
      <c r="S386" s="19" t="s">
        <v>582</v>
      </c>
      <c r="T386" s="19" t="s">
        <v>582</v>
      </c>
      <c r="U386" s="19"/>
      <c r="V386" s="19" t="s">
        <v>582</v>
      </c>
      <c r="W386" s="19" t="s">
        <v>582</v>
      </c>
      <c r="X386" s="19" t="s">
        <v>582</v>
      </c>
      <c r="Y386" s="19" t="s">
        <v>582</v>
      </c>
      <c r="Z386" s="19" t="s">
        <v>582</v>
      </c>
      <c r="AA386" s="19" t="s">
        <v>582</v>
      </c>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20"/>
      <c r="G387" s="24" t="s">
        <v>62</v>
      </c>
      <c r="H387" s="24"/>
      <c r="I387" s="25"/>
      <c r="J387" s="20"/>
      <c r="K387" s="20"/>
      <c r="L387" s="278"/>
      <c r="M387" s="20"/>
      <c r="N387" s="20"/>
      <c r="O387" s="279"/>
      <c r="P387" s="20"/>
      <c r="Q387" s="132"/>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t="s">
        <v>2592</v>
      </c>
      <c r="G388" s="18" t="s">
        <v>62</v>
      </c>
      <c r="H388" s="18" t="s">
        <v>1081</v>
      </c>
      <c r="I388" s="23">
        <v>1</v>
      </c>
      <c r="J388" s="8" t="s">
        <v>1090</v>
      </c>
      <c r="K388" s="8" t="s">
        <v>2651</v>
      </c>
      <c r="L388" s="283"/>
      <c r="M388" s="8"/>
      <c r="N388" s="8"/>
      <c r="O388" s="281"/>
      <c r="P388" s="8"/>
      <c r="Q388" s="132"/>
      <c r="R388" s="38"/>
      <c r="S388" s="8"/>
      <c r="T388" s="8"/>
      <c r="U388" s="8"/>
      <c r="V388" s="8"/>
      <c r="W388" s="8"/>
      <c r="X388" s="8"/>
      <c r="Y388" s="8"/>
      <c r="Z388" s="8"/>
      <c r="AA388" s="8"/>
    </row>
    <row r="389" spans="1:51" ht="47.25" hidden="1">
      <c r="A389" s="8" t="s">
        <v>24</v>
      </c>
      <c r="B389" s="31" t="s">
        <v>195</v>
      </c>
      <c r="C389" s="18" t="s">
        <v>1076</v>
      </c>
      <c r="D389" s="18" t="s">
        <v>1082</v>
      </c>
      <c r="E389" s="69" t="s">
        <v>1083</v>
      </c>
      <c r="F389" s="8" t="s">
        <v>2592</v>
      </c>
      <c r="G389" s="18" t="s">
        <v>62</v>
      </c>
      <c r="H389" s="18" t="s">
        <v>1084</v>
      </c>
      <c r="I389" s="23">
        <v>1</v>
      </c>
      <c r="J389" s="8" t="s">
        <v>1090</v>
      </c>
      <c r="K389" s="8" t="s">
        <v>2651</v>
      </c>
      <c r="L389" s="283"/>
      <c r="M389" s="8"/>
      <c r="N389" s="8"/>
      <c r="O389" s="281"/>
      <c r="P389" s="8"/>
      <c r="Q389" s="132"/>
      <c r="R389" s="38"/>
      <c r="S389" s="8"/>
      <c r="T389" s="8"/>
      <c r="U389" s="8"/>
      <c r="V389" s="8"/>
      <c r="W389" s="8"/>
      <c r="X389" s="8"/>
      <c r="Y389" s="8"/>
      <c r="Z389" s="8"/>
      <c r="AA389" s="8"/>
    </row>
    <row r="390" spans="1:51" ht="63" hidden="1">
      <c r="A390" s="8" t="s">
        <v>24</v>
      </c>
      <c r="B390" s="31" t="s">
        <v>195</v>
      </c>
      <c r="C390" s="18" t="s">
        <v>1076</v>
      </c>
      <c r="D390" s="18" t="s">
        <v>1085</v>
      </c>
      <c r="E390" s="18" t="s">
        <v>1086</v>
      </c>
      <c r="F390" s="20"/>
      <c r="G390" s="24" t="s">
        <v>62</v>
      </c>
      <c r="H390" s="24"/>
      <c r="I390" s="24"/>
      <c r="J390" s="20"/>
      <c r="K390" s="20"/>
      <c r="L390" s="278"/>
      <c r="M390" s="20"/>
      <c r="N390" s="20"/>
      <c r="O390" s="279"/>
      <c r="P390" s="20"/>
      <c r="Q390" s="132"/>
      <c r="R390" s="39"/>
      <c r="S390" s="20"/>
      <c r="T390" s="20"/>
      <c r="U390" s="20"/>
      <c r="V390" s="20"/>
      <c r="W390" s="20"/>
      <c r="X390" s="20"/>
      <c r="Y390" s="20"/>
      <c r="Z390" s="20"/>
      <c r="AA390" s="8"/>
    </row>
    <row r="391" spans="1:51" ht="67.900000000000006" hidden="1" customHeight="1">
      <c r="A391" s="8" t="s">
        <v>24</v>
      </c>
      <c r="B391" s="31" t="s">
        <v>195</v>
      </c>
      <c r="C391" s="18" t="s">
        <v>1076</v>
      </c>
      <c r="D391" s="18" t="s">
        <v>1087</v>
      </c>
      <c r="E391" s="18" t="s">
        <v>1088</v>
      </c>
      <c r="F391" s="8" t="s">
        <v>2592</v>
      </c>
      <c r="G391" s="18" t="s">
        <v>62</v>
      </c>
      <c r="H391" s="18" t="s">
        <v>1089</v>
      </c>
      <c r="I391" s="18" t="s">
        <v>1090</v>
      </c>
      <c r="J391" s="8" t="s">
        <v>1191</v>
      </c>
      <c r="K391" s="8"/>
      <c r="L391" s="283"/>
      <c r="M391" s="8" t="s">
        <v>11</v>
      </c>
      <c r="N391" s="8"/>
      <c r="O391" s="281"/>
      <c r="P391" s="8"/>
      <c r="Q391" s="132"/>
      <c r="R391" s="38"/>
      <c r="S391" s="8"/>
      <c r="T391" s="8"/>
      <c r="U391" s="8"/>
      <c r="V391" s="8"/>
      <c r="W391" s="8"/>
      <c r="X391" s="8"/>
      <c r="Y391" s="8"/>
      <c r="Z391" s="8"/>
      <c r="AA391" s="8"/>
    </row>
    <row r="392" spans="1:51" ht="47.25" hidden="1">
      <c r="A392" s="8" t="s">
        <v>24</v>
      </c>
      <c r="B392" s="31" t="s">
        <v>195</v>
      </c>
      <c r="C392" s="18" t="s">
        <v>1076</v>
      </c>
      <c r="D392" s="18" t="s">
        <v>1091</v>
      </c>
      <c r="E392" s="69" t="s">
        <v>1092</v>
      </c>
      <c r="F392" s="8" t="s">
        <v>2592</v>
      </c>
      <c r="G392" s="18" t="s">
        <v>62</v>
      </c>
      <c r="H392" s="18" t="s">
        <v>1089</v>
      </c>
      <c r="I392" s="18" t="s">
        <v>1090</v>
      </c>
      <c r="J392" s="8" t="s">
        <v>1090</v>
      </c>
      <c r="K392" s="8"/>
      <c r="L392" s="283"/>
      <c r="M392" s="8"/>
      <c r="N392" s="8"/>
      <c r="O392" s="281"/>
      <c r="P392" s="8"/>
      <c r="Q392" s="132"/>
      <c r="R392" s="38"/>
      <c r="S392" s="8"/>
      <c r="T392" s="8"/>
      <c r="U392" s="8"/>
      <c r="V392" s="8"/>
      <c r="W392" s="8"/>
      <c r="X392" s="8"/>
      <c r="Y392" s="8"/>
      <c r="Z392" s="8"/>
      <c r="AA392" s="8"/>
    </row>
    <row r="393" spans="1:51" ht="47.25" hidden="1">
      <c r="A393" s="8" t="s">
        <v>24</v>
      </c>
      <c r="B393" s="31" t="s">
        <v>195</v>
      </c>
      <c r="C393" s="18" t="s">
        <v>1076</v>
      </c>
      <c r="D393" s="18" t="s">
        <v>1093</v>
      </c>
      <c r="E393" s="69" t="s">
        <v>1094</v>
      </c>
      <c r="F393" s="8" t="s">
        <v>2592</v>
      </c>
      <c r="G393" s="18" t="s">
        <v>62</v>
      </c>
      <c r="H393" s="18" t="s">
        <v>1095</v>
      </c>
      <c r="I393" s="18" t="s">
        <v>1096</v>
      </c>
      <c r="J393" s="8" t="s">
        <v>8</v>
      </c>
      <c r="K393" s="8" t="s">
        <v>2652</v>
      </c>
      <c r="L393" s="283"/>
      <c r="M393" s="8"/>
      <c r="N393" s="8"/>
      <c r="O393" s="281"/>
      <c r="P393" s="8"/>
      <c r="Q393" s="132"/>
      <c r="R393" s="38"/>
      <c r="S393" s="8"/>
      <c r="T393" s="8"/>
      <c r="U393" s="8"/>
      <c r="V393" s="8"/>
      <c r="W393" s="8"/>
      <c r="X393" s="8"/>
      <c r="Y393" s="8"/>
      <c r="Z393" s="8"/>
      <c r="AA393" s="8"/>
    </row>
    <row r="394" spans="1:51" ht="63" hidden="1">
      <c r="A394" s="8" t="s">
        <v>24</v>
      </c>
      <c r="B394" s="31" t="s">
        <v>195</v>
      </c>
      <c r="C394" s="18" t="s">
        <v>1076</v>
      </c>
      <c r="D394" s="18" t="s">
        <v>1097</v>
      </c>
      <c r="E394" s="69" t="s">
        <v>1098</v>
      </c>
      <c r="F394" s="8" t="s">
        <v>2592</v>
      </c>
      <c r="G394" s="18" t="s">
        <v>62</v>
      </c>
      <c r="H394" s="18" t="s">
        <v>1099</v>
      </c>
      <c r="I394" s="23">
        <v>1</v>
      </c>
      <c r="J394" s="8" t="s">
        <v>1090</v>
      </c>
      <c r="K394" s="8"/>
      <c r="L394" s="283"/>
      <c r="M394" s="8"/>
      <c r="N394" s="8"/>
      <c r="O394" s="281"/>
      <c r="P394" s="8"/>
      <c r="Q394" s="132"/>
      <c r="R394" s="38"/>
      <c r="S394" s="8"/>
      <c r="T394" s="8"/>
      <c r="U394" s="8"/>
      <c r="V394" s="8"/>
      <c r="W394" s="8"/>
      <c r="X394" s="8"/>
      <c r="Y394" s="8"/>
      <c r="Z394" s="8"/>
      <c r="AA394" s="8"/>
    </row>
    <row r="395" spans="1:51" ht="47.25" hidden="1">
      <c r="A395" s="8" t="s">
        <v>24</v>
      </c>
      <c r="B395" s="31" t="s">
        <v>195</v>
      </c>
      <c r="C395" s="18" t="s">
        <v>1076</v>
      </c>
      <c r="D395" s="18" t="s">
        <v>1100</v>
      </c>
      <c r="E395" s="18" t="s">
        <v>1101</v>
      </c>
      <c r="F395" s="8" t="s">
        <v>2592</v>
      </c>
      <c r="G395" s="18" t="s">
        <v>58</v>
      </c>
      <c r="H395" s="18" t="s">
        <v>1102</v>
      </c>
      <c r="I395" s="23">
        <v>0.7</v>
      </c>
      <c r="J395" s="8" t="s">
        <v>1090</v>
      </c>
      <c r="K395" s="8" t="s">
        <v>2653</v>
      </c>
      <c r="L395" s="283"/>
      <c r="M395" s="8"/>
      <c r="N395" s="8"/>
      <c r="O395" s="281"/>
      <c r="P395" s="8"/>
      <c r="Q395" s="132"/>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t="s">
        <v>2592</v>
      </c>
      <c r="G396" s="18" t="s">
        <v>62</v>
      </c>
      <c r="H396" s="18" t="s">
        <v>1106</v>
      </c>
      <c r="I396" s="23">
        <v>1</v>
      </c>
      <c r="J396" s="8" t="s">
        <v>1191</v>
      </c>
      <c r="K396" s="8" t="s">
        <v>2654</v>
      </c>
      <c r="L396" s="283"/>
      <c r="M396" s="8" t="s">
        <v>11</v>
      </c>
      <c r="N396" s="8"/>
      <c r="O396" s="281"/>
      <c r="P396" s="8"/>
      <c r="Q396" s="132"/>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t="s">
        <v>2592</v>
      </c>
      <c r="G397" s="18" t="s">
        <v>62</v>
      </c>
      <c r="H397" s="18" t="s">
        <v>1110</v>
      </c>
      <c r="I397" s="23">
        <v>1</v>
      </c>
      <c r="J397" s="8" t="s">
        <v>1090</v>
      </c>
      <c r="K397" s="8" t="s">
        <v>2655</v>
      </c>
      <c r="L397" s="283"/>
      <c r="M397" s="8"/>
      <c r="N397" s="8"/>
      <c r="O397" s="281"/>
      <c r="P397" s="8"/>
      <c r="Q397" s="132"/>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t="s">
        <v>2592</v>
      </c>
      <c r="G398" s="18" t="s">
        <v>62</v>
      </c>
      <c r="H398" s="18" t="s">
        <v>1114</v>
      </c>
      <c r="I398" s="23">
        <v>1</v>
      </c>
      <c r="J398" s="8" t="s">
        <v>1090</v>
      </c>
      <c r="K398" s="8"/>
      <c r="L398" s="283"/>
      <c r="M398" s="8"/>
      <c r="N398" s="8"/>
      <c r="O398" s="281"/>
      <c r="P398" s="8"/>
      <c r="Q398" s="132"/>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t="s">
        <v>2592</v>
      </c>
      <c r="G399" s="18" t="s">
        <v>62</v>
      </c>
      <c r="H399" s="18" t="s">
        <v>1117</v>
      </c>
      <c r="I399" s="18" t="s">
        <v>671</v>
      </c>
      <c r="J399" s="8" t="s">
        <v>1090</v>
      </c>
      <c r="K399" s="8"/>
      <c r="L399" s="283"/>
      <c r="M399" s="8"/>
      <c r="N399" s="8"/>
      <c r="O399" s="281"/>
      <c r="P399" s="8"/>
      <c r="Q399" s="132"/>
      <c r="R399" s="38"/>
      <c r="S399" s="8"/>
      <c r="T399" s="8"/>
      <c r="U399" s="8"/>
      <c r="V399" s="8"/>
      <c r="W399" s="8"/>
      <c r="X399" s="8"/>
      <c r="Y399" s="8"/>
      <c r="Z399" s="8"/>
      <c r="AA399" s="8"/>
    </row>
    <row r="400" spans="1:51" s="5" customFormat="1" ht="47.25" hidden="1">
      <c r="A400" s="20" t="s">
        <v>24</v>
      </c>
      <c r="B400" s="32" t="s">
        <v>274</v>
      </c>
      <c r="C400" s="24" t="s">
        <v>1118</v>
      </c>
      <c r="D400" s="19" t="s">
        <v>582</v>
      </c>
      <c r="E400" s="24" t="s">
        <v>582</v>
      </c>
      <c r="F400" s="24" t="s">
        <v>582</v>
      </c>
      <c r="G400" s="19" t="s">
        <v>582</v>
      </c>
      <c r="H400" s="19" t="s">
        <v>582</v>
      </c>
      <c r="I400" s="19" t="s">
        <v>582</v>
      </c>
      <c r="J400" s="19" t="s">
        <v>582</v>
      </c>
      <c r="K400" s="19" t="s">
        <v>582</v>
      </c>
      <c r="L400" s="19" t="s">
        <v>582</v>
      </c>
      <c r="M400" s="19" t="s">
        <v>582</v>
      </c>
      <c r="N400" s="19" t="s">
        <v>582</v>
      </c>
      <c r="O400" s="19" t="s">
        <v>582</v>
      </c>
      <c r="P400" s="19" t="s">
        <v>582</v>
      </c>
      <c r="Q400" s="48"/>
      <c r="R400" s="44" t="s">
        <v>582</v>
      </c>
      <c r="S400" s="19" t="s">
        <v>582</v>
      </c>
      <c r="T400" s="19" t="s">
        <v>582</v>
      </c>
      <c r="U400" s="19"/>
      <c r="V400" s="19" t="s">
        <v>582</v>
      </c>
      <c r="W400" s="19" t="s">
        <v>582</v>
      </c>
      <c r="X400" s="19" t="s">
        <v>582</v>
      </c>
      <c r="Y400" s="19" t="s">
        <v>582</v>
      </c>
      <c r="Z400" s="19" t="s">
        <v>582</v>
      </c>
      <c r="AA400" s="19" t="s">
        <v>582</v>
      </c>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t="s">
        <v>582</v>
      </c>
      <c r="E401" s="24" t="s">
        <v>582</v>
      </c>
      <c r="F401" s="24" t="s">
        <v>582</v>
      </c>
      <c r="G401" s="19" t="s">
        <v>582</v>
      </c>
      <c r="H401" s="19" t="s">
        <v>582</v>
      </c>
      <c r="I401" s="19" t="s">
        <v>582</v>
      </c>
      <c r="J401" s="19" t="s">
        <v>582</v>
      </c>
      <c r="K401" s="19" t="s">
        <v>582</v>
      </c>
      <c r="L401" s="19" t="s">
        <v>582</v>
      </c>
      <c r="M401" s="19" t="s">
        <v>582</v>
      </c>
      <c r="N401" s="19" t="s">
        <v>582</v>
      </c>
      <c r="O401" s="19" t="s">
        <v>582</v>
      </c>
      <c r="P401" s="19" t="s">
        <v>582</v>
      </c>
      <c r="Q401" s="48"/>
      <c r="R401" s="44" t="s">
        <v>582</v>
      </c>
      <c r="S401" s="19" t="s">
        <v>582</v>
      </c>
      <c r="T401" s="19" t="s">
        <v>582</v>
      </c>
      <c r="U401" s="19"/>
      <c r="V401" s="19" t="s">
        <v>582</v>
      </c>
      <c r="W401" s="19" t="s">
        <v>582</v>
      </c>
      <c r="X401" s="19" t="s">
        <v>582</v>
      </c>
      <c r="Y401" s="19" t="s">
        <v>582</v>
      </c>
      <c r="Z401" s="19" t="s">
        <v>582</v>
      </c>
      <c r="AA401" s="19" t="s">
        <v>582</v>
      </c>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t="s">
        <v>582</v>
      </c>
      <c r="E402" s="24" t="s">
        <v>582</v>
      </c>
      <c r="F402" s="24" t="s">
        <v>582</v>
      </c>
      <c r="G402" s="19" t="s">
        <v>582</v>
      </c>
      <c r="H402" s="19" t="s">
        <v>582</v>
      </c>
      <c r="I402" s="19" t="s">
        <v>582</v>
      </c>
      <c r="J402" s="19" t="s">
        <v>582</v>
      </c>
      <c r="K402" s="19" t="s">
        <v>582</v>
      </c>
      <c r="L402" s="19" t="s">
        <v>582</v>
      </c>
      <c r="M402" s="19" t="s">
        <v>582</v>
      </c>
      <c r="N402" s="19" t="s">
        <v>582</v>
      </c>
      <c r="O402" s="19" t="s">
        <v>582</v>
      </c>
      <c r="P402" s="19" t="s">
        <v>582</v>
      </c>
      <c r="Q402" s="48"/>
      <c r="R402" s="44" t="s">
        <v>582</v>
      </c>
      <c r="S402" s="19" t="s">
        <v>582</v>
      </c>
      <c r="T402" s="19" t="s">
        <v>582</v>
      </c>
      <c r="U402" s="19"/>
      <c r="V402" s="19" t="s">
        <v>582</v>
      </c>
      <c r="W402" s="19" t="s">
        <v>582</v>
      </c>
      <c r="X402" s="19" t="s">
        <v>582</v>
      </c>
      <c r="Y402" s="19" t="s">
        <v>582</v>
      </c>
      <c r="Z402" s="19" t="s">
        <v>582</v>
      </c>
      <c r="AA402" s="19" t="s">
        <v>582</v>
      </c>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t="s">
        <v>2592</v>
      </c>
      <c r="G403" s="18" t="s">
        <v>62</v>
      </c>
      <c r="H403" s="18" t="s">
        <v>1124</v>
      </c>
      <c r="I403" s="23">
        <v>1</v>
      </c>
      <c r="J403" s="8" t="s">
        <v>1090</v>
      </c>
      <c r="K403" s="8"/>
      <c r="L403" s="283"/>
      <c r="M403" s="8"/>
      <c r="N403" s="8"/>
      <c r="O403" s="281"/>
      <c r="P403" s="8"/>
      <c r="Q403" s="132"/>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t="s">
        <v>2592</v>
      </c>
      <c r="G404" s="18" t="s">
        <v>62</v>
      </c>
      <c r="H404" s="18" t="s">
        <v>1127</v>
      </c>
      <c r="I404" s="23">
        <v>1</v>
      </c>
      <c r="J404" s="8" t="s">
        <v>1090</v>
      </c>
      <c r="K404" s="9" t="s">
        <v>2632</v>
      </c>
      <c r="L404" s="283"/>
      <c r="M404" s="8"/>
      <c r="N404" s="8"/>
      <c r="O404" s="281"/>
      <c r="P404" s="8"/>
      <c r="Q404" s="132"/>
      <c r="R404" s="38"/>
      <c r="S404" s="8"/>
      <c r="T404" s="8"/>
      <c r="U404" s="8"/>
      <c r="V404" s="8"/>
      <c r="W404" s="8"/>
      <c r="X404" s="8"/>
      <c r="Y404" s="8"/>
      <c r="Z404" s="8"/>
      <c r="AA404" s="8"/>
    </row>
    <row r="405" spans="1:51" ht="78.75" hidden="1">
      <c r="A405" s="8" t="s">
        <v>24</v>
      </c>
      <c r="B405" s="31" t="s">
        <v>587</v>
      </c>
      <c r="C405" s="18" t="s">
        <v>1128</v>
      </c>
      <c r="D405" s="18" t="s">
        <v>1129</v>
      </c>
      <c r="E405" s="18" t="s">
        <v>1130</v>
      </c>
      <c r="F405" s="20"/>
      <c r="G405" s="24" t="s">
        <v>62</v>
      </c>
      <c r="H405" s="24" t="s">
        <v>591</v>
      </c>
      <c r="I405" s="25">
        <v>1</v>
      </c>
      <c r="J405" s="20"/>
      <c r="K405" s="20"/>
      <c r="L405" s="278"/>
      <c r="M405" s="20"/>
      <c r="N405" s="20"/>
      <c r="O405" s="279"/>
      <c r="P405" s="20"/>
      <c r="Q405" s="132"/>
      <c r="R405" s="39"/>
      <c r="S405" s="20"/>
      <c r="T405" s="20"/>
      <c r="U405" s="20"/>
      <c r="V405" s="20"/>
      <c r="W405" s="20"/>
      <c r="X405" s="20"/>
      <c r="Y405" s="20"/>
      <c r="Z405" s="20"/>
      <c r="AA405" s="8"/>
    </row>
    <row r="406" spans="1:51" ht="63" hidden="1">
      <c r="A406" s="8" t="s">
        <v>24</v>
      </c>
      <c r="B406" s="31" t="s">
        <v>587</v>
      </c>
      <c r="C406" s="18" t="s">
        <v>1128</v>
      </c>
      <c r="D406" s="18" t="s">
        <v>1131</v>
      </c>
      <c r="E406" s="69" t="s">
        <v>1132</v>
      </c>
      <c r="F406" s="8" t="s">
        <v>2592</v>
      </c>
      <c r="G406" s="18" t="s">
        <v>62</v>
      </c>
      <c r="H406" s="18" t="s">
        <v>591</v>
      </c>
      <c r="I406" s="23">
        <v>1</v>
      </c>
      <c r="J406" s="8" t="s">
        <v>1090</v>
      </c>
      <c r="K406" s="8" t="s">
        <v>2653</v>
      </c>
      <c r="L406" s="283"/>
      <c r="M406" s="8"/>
      <c r="N406" s="8"/>
      <c r="O406" s="281"/>
      <c r="P406" s="8"/>
      <c r="Q406" s="132"/>
      <c r="R406" s="38"/>
      <c r="S406" s="8"/>
      <c r="T406" s="8"/>
      <c r="U406" s="8"/>
      <c r="V406" s="8"/>
      <c r="W406" s="8"/>
      <c r="X406" s="8"/>
      <c r="Y406" s="8"/>
      <c r="Z406" s="8"/>
      <c r="AA406" s="8"/>
    </row>
    <row r="407" spans="1:51" ht="63" hidden="1">
      <c r="A407" s="8" t="s">
        <v>24</v>
      </c>
      <c r="B407" s="31" t="s">
        <v>587</v>
      </c>
      <c r="C407" s="18" t="s">
        <v>1128</v>
      </c>
      <c r="D407" s="18" t="s">
        <v>1133</v>
      </c>
      <c r="E407" s="69" t="s">
        <v>1134</v>
      </c>
      <c r="F407" s="8" t="s">
        <v>2592</v>
      </c>
      <c r="G407" s="18" t="s">
        <v>62</v>
      </c>
      <c r="H407" s="18" t="s">
        <v>591</v>
      </c>
      <c r="I407" s="23">
        <v>2</v>
      </c>
      <c r="J407" s="8" t="s">
        <v>1090</v>
      </c>
      <c r="K407" s="8" t="s">
        <v>2656</v>
      </c>
      <c r="L407" s="283"/>
      <c r="M407" s="8"/>
      <c r="N407" s="8"/>
      <c r="O407" s="281"/>
      <c r="P407" s="8"/>
      <c r="Q407" s="132"/>
      <c r="R407" s="38"/>
      <c r="S407" s="8"/>
      <c r="T407" s="8"/>
      <c r="U407" s="8"/>
      <c r="V407" s="8"/>
      <c r="W407" s="8"/>
      <c r="X407" s="8"/>
      <c r="Y407" s="8"/>
      <c r="Z407" s="8"/>
      <c r="AA407" s="8"/>
    </row>
    <row r="408" spans="1:51" ht="63" hidden="1">
      <c r="A408" s="8" t="s">
        <v>24</v>
      </c>
      <c r="B408" s="31" t="s">
        <v>587</v>
      </c>
      <c r="C408" s="18" t="s">
        <v>1128</v>
      </c>
      <c r="D408" s="18" t="s">
        <v>1135</v>
      </c>
      <c r="E408" s="69" t="s">
        <v>1136</v>
      </c>
      <c r="F408" s="8" t="s">
        <v>2590</v>
      </c>
      <c r="G408" s="18" t="s">
        <v>62</v>
      </c>
      <c r="H408" s="18" t="s">
        <v>591</v>
      </c>
      <c r="I408" s="23">
        <v>3</v>
      </c>
      <c r="J408" s="8" t="s">
        <v>8</v>
      </c>
      <c r="K408" s="8" t="s">
        <v>2640</v>
      </c>
      <c r="L408" s="283"/>
      <c r="M408" s="8" t="s">
        <v>9</v>
      </c>
      <c r="N408" s="8"/>
      <c r="O408" s="281"/>
      <c r="P408" s="8"/>
      <c r="Q408" s="132"/>
      <c r="R408" s="38"/>
      <c r="S408" s="8"/>
      <c r="T408" s="8"/>
      <c r="U408" s="8"/>
      <c r="V408" s="8"/>
      <c r="W408" s="8"/>
      <c r="X408" s="8"/>
      <c r="Y408" s="8"/>
      <c r="Z408" s="8"/>
      <c r="AA408" s="8"/>
    </row>
    <row r="409" spans="1:51" ht="63" hidden="1">
      <c r="A409" s="8" t="s">
        <v>24</v>
      </c>
      <c r="B409" s="31" t="s">
        <v>587</v>
      </c>
      <c r="C409" s="18" t="s">
        <v>1128</v>
      </c>
      <c r="D409" s="18" t="s">
        <v>1137</v>
      </c>
      <c r="E409" s="69" t="s">
        <v>1138</v>
      </c>
      <c r="F409" s="8" t="s">
        <v>2590</v>
      </c>
      <c r="G409" s="18" t="s">
        <v>62</v>
      </c>
      <c r="H409" s="18" t="s">
        <v>591</v>
      </c>
      <c r="I409" s="23">
        <v>4</v>
      </c>
      <c r="J409" s="8" t="s">
        <v>8</v>
      </c>
      <c r="K409" s="8" t="s">
        <v>2640</v>
      </c>
      <c r="L409" s="283"/>
      <c r="M409" s="8" t="s">
        <v>9</v>
      </c>
      <c r="N409" s="8"/>
      <c r="O409" s="281"/>
      <c r="P409" s="8"/>
      <c r="Q409" s="132"/>
      <c r="R409" s="38"/>
      <c r="S409" s="8"/>
      <c r="T409" s="8"/>
      <c r="U409" s="8"/>
      <c r="V409" s="8"/>
      <c r="W409" s="8"/>
      <c r="X409" s="8"/>
      <c r="Y409" s="8"/>
      <c r="Z409" s="8"/>
      <c r="AA409" s="8"/>
    </row>
    <row r="410" spans="1:51" ht="63" hidden="1">
      <c r="A410" s="8" t="s">
        <v>24</v>
      </c>
      <c r="B410" s="31" t="s">
        <v>587</v>
      </c>
      <c r="C410" s="18" t="s">
        <v>1128</v>
      </c>
      <c r="D410" s="18" t="s">
        <v>1139</v>
      </c>
      <c r="E410" s="69" t="s">
        <v>1140</v>
      </c>
      <c r="F410" s="8" t="s">
        <v>2590</v>
      </c>
      <c r="G410" s="18" t="s">
        <v>62</v>
      </c>
      <c r="H410" s="18" t="s">
        <v>591</v>
      </c>
      <c r="I410" s="23">
        <v>5</v>
      </c>
      <c r="J410" s="8" t="s">
        <v>1090</v>
      </c>
      <c r="K410" s="8" t="s">
        <v>2640</v>
      </c>
      <c r="L410" s="283"/>
      <c r="M410" s="8"/>
      <c r="N410" s="8"/>
      <c r="O410" s="281"/>
      <c r="P410" s="8"/>
      <c r="Q410" s="132"/>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t="s">
        <v>2592</v>
      </c>
      <c r="G411" s="18" t="s">
        <v>58</v>
      </c>
      <c r="H411" s="18" t="s">
        <v>1143</v>
      </c>
      <c r="I411" s="23">
        <v>1</v>
      </c>
      <c r="J411" s="8" t="s">
        <v>1090</v>
      </c>
      <c r="K411" s="8" t="s">
        <v>2653</v>
      </c>
      <c r="L411" s="283"/>
      <c r="M411" s="8"/>
      <c r="N411" s="8"/>
      <c r="O411" s="281"/>
      <c r="P411" s="8"/>
      <c r="Q411" s="132"/>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283"/>
      <c r="M412" s="8"/>
      <c r="N412" s="8"/>
      <c r="O412" s="281"/>
      <c r="P412" s="8"/>
      <c r="Q412" s="132"/>
      <c r="R412" s="38"/>
      <c r="S412" s="8"/>
      <c r="T412" s="8"/>
      <c r="U412" s="8"/>
      <c r="V412" s="8"/>
      <c r="W412" s="8"/>
      <c r="X412" s="8"/>
      <c r="Y412" s="8"/>
      <c r="Z412" s="8"/>
      <c r="AA412" s="8"/>
    </row>
    <row r="413" spans="1:51" ht="63" hidden="1">
      <c r="A413" s="8" t="s">
        <v>24</v>
      </c>
      <c r="B413" s="31" t="s">
        <v>587</v>
      </c>
      <c r="C413" s="18" t="s">
        <v>1144</v>
      </c>
      <c r="D413" s="18" t="s">
        <v>1148</v>
      </c>
      <c r="E413" s="18" t="s">
        <v>1146</v>
      </c>
      <c r="F413" s="8" t="s">
        <v>2592</v>
      </c>
      <c r="G413" s="18" t="s">
        <v>1149</v>
      </c>
      <c r="H413" s="18" t="s">
        <v>428</v>
      </c>
      <c r="I413" s="23">
        <v>1</v>
      </c>
      <c r="J413" s="8" t="s">
        <v>1090</v>
      </c>
      <c r="K413" s="8" t="s">
        <v>2653</v>
      </c>
      <c r="L413" s="283"/>
      <c r="M413" s="8"/>
      <c r="N413" s="8"/>
      <c r="O413" s="281"/>
      <c r="P413" s="8"/>
      <c r="Q413" s="132"/>
      <c r="R413" s="38"/>
      <c r="S413" s="8"/>
      <c r="T413" s="8"/>
      <c r="U413" s="8"/>
      <c r="V413" s="8"/>
      <c r="W413" s="8"/>
      <c r="X413" s="8"/>
      <c r="Y413" s="8"/>
      <c r="Z413" s="8"/>
      <c r="AA413" s="8"/>
    </row>
    <row r="414" spans="1:51" s="5" customFormat="1" ht="78.75" hidden="1">
      <c r="A414" s="20" t="s">
        <v>24</v>
      </c>
      <c r="B414" s="32" t="s">
        <v>587</v>
      </c>
      <c r="C414" s="24" t="s">
        <v>1150</v>
      </c>
      <c r="D414" s="19" t="s">
        <v>582</v>
      </c>
      <c r="E414" s="24" t="s">
        <v>582</v>
      </c>
      <c r="F414" s="24" t="s">
        <v>582</v>
      </c>
      <c r="G414" s="19" t="s">
        <v>582</v>
      </c>
      <c r="H414" s="19" t="s">
        <v>582</v>
      </c>
      <c r="I414" s="19" t="s">
        <v>582</v>
      </c>
      <c r="J414" s="19" t="s">
        <v>582</v>
      </c>
      <c r="K414" s="19" t="s">
        <v>582</v>
      </c>
      <c r="L414" s="19" t="s">
        <v>582</v>
      </c>
      <c r="M414" s="19" t="s">
        <v>582</v>
      </c>
      <c r="N414" s="19" t="s">
        <v>582</v>
      </c>
      <c r="O414" s="19" t="s">
        <v>582</v>
      </c>
      <c r="P414" s="19" t="s">
        <v>582</v>
      </c>
      <c r="Q414" s="48"/>
      <c r="R414" s="44" t="s">
        <v>582</v>
      </c>
      <c r="S414" s="19" t="s">
        <v>582</v>
      </c>
      <c r="T414" s="19" t="s">
        <v>582</v>
      </c>
      <c r="U414" s="19"/>
      <c r="V414" s="19" t="s">
        <v>582</v>
      </c>
      <c r="W414" s="19" t="s">
        <v>582</v>
      </c>
      <c r="X414" s="19" t="s">
        <v>582</v>
      </c>
      <c r="Y414" s="19" t="s">
        <v>582</v>
      </c>
      <c r="Z414" s="19" t="s">
        <v>582</v>
      </c>
      <c r="AA414" s="19" t="s">
        <v>582</v>
      </c>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t="s">
        <v>2592</v>
      </c>
      <c r="G415" s="18" t="s">
        <v>62</v>
      </c>
      <c r="H415" s="18" t="s">
        <v>1154</v>
      </c>
      <c r="I415" s="18" t="s">
        <v>1155</v>
      </c>
      <c r="J415" s="8" t="s">
        <v>1090</v>
      </c>
      <c r="K415" s="8"/>
      <c r="L415" s="283"/>
      <c r="M415" s="8"/>
      <c r="N415" s="8"/>
      <c r="O415" s="281"/>
      <c r="P415" s="8"/>
      <c r="Q415" s="132"/>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t="s">
        <v>2592</v>
      </c>
      <c r="G417" s="18" t="s">
        <v>62</v>
      </c>
      <c r="H417" s="18" t="s">
        <v>1160</v>
      </c>
      <c r="I417" s="23">
        <v>0.5</v>
      </c>
      <c r="J417" s="8" t="s">
        <v>1090</v>
      </c>
      <c r="K417" s="8"/>
      <c r="L417" s="283"/>
      <c r="M417" s="8"/>
      <c r="N417" s="8"/>
      <c r="O417" s="281"/>
      <c r="P417" s="8"/>
      <c r="Q417" s="132"/>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t="s">
        <v>2592</v>
      </c>
      <c r="G418" s="18" t="s">
        <v>62</v>
      </c>
      <c r="H418" s="18" t="s">
        <v>1164</v>
      </c>
      <c r="I418" s="18" t="s">
        <v>1165</v>
      </c>
      <c r="J418" s="8" t="s">
        <v>1090</v>
      </c>
      <c r="K418" s="8"/>
      <c r="L418" s="283"/>
      <c r="M418" s="8"/>
      <c r="N418" s="8"/>
      <c r="O418" s="281"/>
      <c r="P418" s="8"/>
      <c r="Q418" s="132"/>
      <c r="R418" s="38"/>
      <c r="S418" s="8"/>
      <c r="T418" s="8"/>
      <c r="U418" s="8"/>
      <c r="V418" s="8"/>
      <c r="W418" s="8"/>
      <c r="X418" s="8"/>
      <c r="Y418" s="8"/>
      <c r="Z418" s="8"/>
      <c r="AA418" s="8"/>
    </row>
    <row r="419" spans="1:51" ht="31.5" hidden="1">
      <c r="A419" s="24" t="s">
        <v>26</v>
      </c>
      <c r="B419" s="32" t="s">
        <v>54</v>
      </c>
      <c r="C419" s="24" t="s">
        <v>1166</v>
      </c>
      <c r="D419" s="19" t="s">
        <v>582</v>
      </c>
      <c r="E419" s="24" t="s">
        <v>582</v>
      </c>
      <c r="F419" s="24" t="s">
        <v>582</v>
      </c>
      <c r="G419" s="19" t="s">
        <v>582</v>
      </c>
      <c r="H419" s="19" t="s">
        <v>582</v>
      </c>
      <c r="I419" s="19" t="s">
        <v>582</v>
      </c>
      <c r="J419" s="19" t="s">
        <v>582</v>
      </c>
      <c r="K419" s="19" t="s">
        <v>582</v>
      </c>
      <c r="L419" s="19" t="s">
        <v>582</v>
      </c>
      <c r="M419" s="19" t="s">
        <v>582</v>
      </c>
      <c r="N419" s="19" t="s">
        <v>582</v>
      </c>
      <c r="O419" s="19" t="s">
        <v>582</v>
      </c>
      <c r="P419" s="19" t="s">
        <v>582</v>
      </c>
      <c r="Q419" s="48"/>
      <c r="R419" s="44" t="s">
        <v>582</v>
      </c>
      <c r="S419" s="19" t="s">
        <v>582</v>
      </c>
      <c r="T419" s="19" t="s">
        <v>582</v>
      </c>
      <c r="U419" s="19"/>
      <c r="V419" s="19" t="s">
        <v>582</v>
      </c>
      <c r="W419" s="19" t="s">
        <v>582</v>
      </c>
      <c r="X419" s="19" t="s">
        <v>582</v>
      </c>
      <c r="Y419" s="19" t="s">
        <v>582</v>
      </c>
      <c r="Z419" s="19" t="s">
        <v>582</v>
      </c>
      <c r="AA419" s="19" t="s">
        <v>582</v>
      </c>
    </row>
    <row r="420" spans="1:51" ht="47.25" hidden="1">
      <c r="A420" s="18" t="s">
        <v>26</v>
      </c>
      <c r="B420" s="31" t="s">
        <v>195</v>
      </c>
      <c r="C420" s="18" t="s">
        <v>1167</v>
      </c>
      <c r="D420" s="18" t="s">
        <v>1168</v>
      </c>
      <c r="E420" s="18" t="s">
        <v>1169</v>
      </c>
      <c r="F420" s="8"/>
      <c r="G420" s="18" t="s">
        <v>71</v>
      </c>
      <c r="H420" s="18" t="s">
        <v>1170</v>
      </c>
      <c r="I420" s="18" t="s">
        <v>1171</v>
      </c>
      <c r="J420" s="8"/>
      <c r="K420" s="8"/>
      <c r="L420" s="283"/>
      <c r="M420" s="8"/>
      <c r="N420" s="8"/>
      <c r="O420" s="281"/>
      <c r="P420" s="8"/>
      <c r="Q420" s="132"/>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t="s">
        <v>2592</v>
      </c>
      <c r="G421" s="18" t="s">
        <v>62</v>
      </c>
      <c r="H421" s="18" t="s">
        <v>1174</v>
      </c>
      <c r="I421" s="18" t="s">
        <v>1175</v>
      </c>
      <c r="J421" s="8" t="s">
        <v>1090</v>
      </c>
      <c r="K421" s="8"/>
      <c r="L421" s="283"/>
      <c r="M421" s="8"/>
      <c r="N421" s="8"/>
      <c r="O421" s="281"/>
      <c r="P421" s="8"/>
      <c r="Q421" s="132"/>
      <c r="R421" s="38"/>
      <c r="S421" s="8"/>
      <c r="T421" s="8"/>
      <c r="U421" s="8"/>
      <c r="V421" s="8"/>
      <c r="W421" s="8"/>
      <c r="X421" s="8"/>
      <c r="Y421" s="8"/>
      <c r="Z421" s="8"/>
      <c r="AA421" s="8"/>
    </row>
    <row r="422" spans="1:51" s="2" customFormat="1" ht="63" hidden="1">
      <c r="A422" s="24" t="s">
        <v>26</v>
      </c>
      <c r="B422" s="32" t="s">
        <v>195</v>
      </c>
      <c r="C422" s="24" t="s">
        <v>1176</v>
      </c>
      <c r="D422" s="19" t="s">
        <v>582</v>
      </c>
      <c r="E422" s="24" t="s">
        <v>582</v>
      </c>
      <c r="F422" s="24" t="s">
        <v>582</v>
      </c>
      <c r="G422" s="24" t="s">
        <v>582</v>
      </c>
      <c r="H422" s="19" t="s">
        <v>582</v>
      </c>
      <c r="I422" s="19" t="s">
        <v>582</v>
      </c>
      <c r="J422" s="19" t="s">
        <v>582</v>
      </c>
      <c r="K422" s="19" t="s">
        <v>582</v>
      </c>
      <c r="L422" s="19" t="s">
        <v>582</v>
      </c>
      <c r="M422" s="19" t="s">
        <v>582</v>
      </c>
      <c r="N422" s="19" t="s">
        <v>582</v>
      </c>
      <c r="O422" s="19" t="s">
        <v>582</v>
      </c>
      <c r="P422" s="19" t="s">
        <v>582</v>
      </c>
      <c r="Q422" s="48"/>
      <c r="R422" s="44" t="s">
        <v>582</v>
      </c>
      <c r="S422" s="19" t="s">
        <v>582</v>
      </c>
      <c r="T422" s="19" t="s">
        <v>582</v>
      </c>
      <c r="U422" s="19"/>
      <c r="V422" s="19" t="s">
        <v>582</v>
      </c>
      <c r="W422" s="19" t="s">
        <v>582</v>
      </c>
      <c r="X422" s="19" t="s">
        <v>582</v>
      </c>
      <c r="Y422" s="19" t="s">
        <v>582</v>
      </c>
      <c r="Z422" s="19" t="s">
        <v>582</v>
      </c>
      <c r="AA422" s="19" t="s">
        <v>582</v>
      </c>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t="s">
        <v>582</v>
      </c>
      <c r="E423" s="24" t="s">
        <v>582</v>
      </c>
      <c r="F423" s="24" t="s">
        <v>582</v>
      </c>
      <c r="G423" s="24" t="s">
        <v>582</v>
      </c>
      <c r="H423" s="19" t="s">
        <v>582</v>
      </c>
      <c r="I423" s="19" t="s">
        <v>582</v>
      </c>
      <c r="J423" s="19" t="s">
        <v>582</v>
      </c>
      <c r="K423" s="19" t="s">
        <v>582</v>
      </c>
      <c r="L423" s="19" t="s">
        <v>582</v>
      </c>
      <c r="M423" s="19" t="s">
        <v>582</v>
      </c>
      <c r="N423" s="19" t="s">
        <v>582</v>
      </c>
      <c r="O423" s="19" t="s">
        <v>582</v>
      </c>
      <c r="P423" s="19" t="s">
        <v>582</v>
      </c>
      <c r="Q423" s="48"/>
      <c r="R423" s="44" t="s">
        <v>582</v>
      </c>
      <c r="S423" s="19" t="s">
        <v>582</v>
      </c>
      <c r="T423" s="19" t="s">
        <v>582</v>
      </c>
      <c r="U423" s="19"/>
      <c r="V423" s="19" t="s">
        <v>582</v>
      </c>
      <c r="W423" s="19" t="s">
        <v>582</v>
      </c>
      <c r="X423" s="19" t="s">
        <v>582</v>
      </c>
      <c r="Y423" s="19" t="s">
        <v>582</v>
      </c>
      <c r="Z423" s="19" t="s">
        <v>582</v>
      </c>
      <c r="AA423" s="19" t="s">
        <v>582</v>
      </c>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t="s">
        <v>582</v>
      </c>
      <c r="E424" s="24" t="s">
        <v>582</v>
      </c>
      <c r="F424" s="24" t="s">
        <v>582</v>
      </c>
      <c r="G424" s="24" t="s">
        <v>582</v>
      </c>
      <c r="H424" s="19" t="s">
        <v>582</v>
      </c>
      <c r="I424" s="19" t="s">
        <v>582</v>
      </c>
      <c r="J424" s="19" t="s">
        <v>582</v>
      </c>
      <c r="K424" s="19" t="s">
        <v>582</v>
      </c>
      <c r="L424" s="19" t="s">
        <v>582</v>
      </c>
      <c r="M424" s="19" t="s">
        <v>582</v>
      </c>
      <c r="N424" s="19" t="s">
        <v>582</v>
      </c>
      <c r="O424" s="19" t="s">
        <v>582</v>
      </c>
      <c r="P424" s="19" t="s">
        <v>582</v>
      </c>
      <c r="Q424" s="48"/>
      <c r="R424" s="44" t="s">
        <v>582</v>
      </c>
      <c r="S424" s="19" t="s">
        <v>582</v>
      </c>
      <c r="T424" s="19" t="s">
        <v>582</v>
      </c>
      <c r="U424" s="19"/>
      <c r="V424" s="19" t="s">
        <v>582</v>
      </c>
      <c r="W424" s="19" t="s">
        <v>582</v>
      </c>
      <c r="X424" s="19" t="s">
        <v>582</v>
      </c>
      <c r="Y424" s="19" t="s">
        <v>582</v>
      </c>
      <c r="Z424" s="19" t="s">
        <v>582</v>
      </c>
      <c r="AA424" s="19" t="s">
        <v>582</v>
      </c>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t="s">
        <v>582</v>
      </c>
      <c r="E425" s="24" t="s">
        <v>582</v>
      </c>
      <c r="F425" s="24" t="s">
        <v>582</v>
      </c>
      <c r="G425" s="24" t="s">
        <v>582</v>
      </c>
      <c r="H425" s="19" t="s">
        <v>582</v>
      </c>
      <c r="I425" s="19" t="s">
        <v>582</v>
      </c>
      <c r="J425" s="19" t="s">
        <v>582</v>
      </c>
      <c r="K425" s="19" t="s">
        <v>582</v>
      </c>
      <c r="L425" s="19" t="s">
        <v>582</v>
      </c>
      <c r="M425" s="19" t="s">
        <v>582</v>
      </c>
      <c r="N425" s="19" t="s">
        <v>582</v>
      </c>
      <c r="O425" s="19" t="s">
        <v>582</v>
      </c>
      <c r="P425" s="19" t="s">
        <v>582</v>
      </c>
      <c r="Q425" s="48"/>
      <c r="R425" s="44" t="s">
        <v>582</v>
      </c>
      <c r="S425" s="19" t="s">
        <v>582</v>
      </c>
      <c r="T425" s="19" t="s">
        <v>582</v>
      </c>
      <c r="U425" s="19"/>
      <c r="V425" s="19" t="s">
        <v>582</v>
      </c>
      <c r="W425" s="19" t="s">
        <v>582</v>
      </c>
      <c r="X425" s="19" t="s">
        <v>582</v>
      </c>
      <c r="Y425" s="19" t="s">
        <v>582</v>
      </c>
      <c r="Z425" s="19" t="s">
        <v>582</v>
      </c>
      <c r="AA425" s="19" t="s">
        <v>582</v>
      </c>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t="s">
        <v>582</v>
      </c>
      <c r="E426" s="24" t="s">
        <v>582</v>
      </c>
      <c r="F426" s="24" t="s">
        <v>582</v>
      </c>
      <c r="G426" s="24" t="s">
        <v>582</v>
      </c>
      <c r="H426" s="19" t="s">
        <v>582</v>
      </c>
      <c r="I426" s="19" t="s">
        <v>582</v>
      </c>
      <c r="J426" s="19" t="s">
        <v>582</v>
      </c>
      <c r="K426" s="19" t="s">
        <v>582</v>
      </c>
      <c r="L426" s="19" t="s">
        <v>582</v>
      </c>
      <c r="M426" s="19" t="s">
        <v>582</v>
      </c>
      <c r="N426" s="19" t="s">
        <v>582</v>
      </c>
      <c r="O426" s="19" t="s">
        <v>582</v>
      </c>
      <c r="P426" s="19" t="s">
        <v>582</v>
      </c>
      <c r="Q426" s="48"/>
      <c r="R426" s="44" t="s">
        <v>582</v>
      </c>
      <c r="S426" s="19" t="s">
        <v>582</v>
      </c>
      <c r="T426" s="19" t="s">
        <v>582</v>
      </c>
      <c r="U426" s="19"/>
      <c r="V426" s="19" t="s">
        <v>582</v>
      </c>
      <c r="W426" s="19" t="s">
        <v>582</v>
      </c>
      <c r="X426" s="19" t="s">
        <v>582</v>
      </c>
      <c r="Y426" s="19" t="s">
        <v>582</v>
      </c>
      <c r="Z426" s="19" t="s">
        <v>582</v>
      </c>
      <c r="AA426" s="19" t="s">
        <v>582</v>
      </c>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t="s">
        <v>582</v>
      </c>
      <c r="E427" s="24" t="s">
        <v>582</v>
      </c>
      <c r="F427" s="24" t="s">
        <v>582</v>
      </c>
      <c r="G427" s="24" t="s">
        <v>582</v>
      </c>
      <c r="H427" s="19" t="s">
        <v>582</v>
      </c>
      <c r="I427" s="19" t="s">
        <v>582</v>
      </c>
      <c r="J427" s="19" t="s">
        <v>582</v>
      </c>
      <c r="K427" s="19" t="s">
        <v>582</v>
      </c>
      <c r="L427" s="19" t="s">
        <v>582</v>
      </c>
      <c r="M427" s="19" t="s">
        <v>582</v>
      </c>
      <c r="N427" s="19" t="s">
        <v>582</v>
      </c>
      <c r="O427" s="19" t="s">
        <v>582</v>
      </c>
      <c r="P427" s="19" t="s">
        <v>582</v>
      </c>
      <c r="Q427" s="48"/>
      <c r="R427" s="44" t="s">
        <v>582</v>
      </c>
      <c r="S427" s="19" t="s">
        <v>582</v>
      </c>
      <c r="T427" s="19" t="s">
        <v>582</v>
      </c>
      <c r="U427" s="19"/>
      <c r="V427" s="19" t="s">
        <v>582</v>
      </c>
      <c r="W427" s="19" t="s">
        <v>582</v>
      </c>
      <c r="X427" s="19" t="s">
        <v>582</v>
      </c>
      <c r="Y427" s="19" t="s">
        <v>582</v>
      </c>
      <c r="Z427" s="19" t="s">
        <v>582</v>
      </c>
      <c r="AA427" s="19" t="s">
        <v>582</v>
      </c>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t="s">
        <v>582</v>
      </c>
      <c r="E428" s="24" t="s">
        <v>582</v>
      </c>
      <c r="F428" s="24" t="s">
        <v>582</v>
      </c>
      <c r="G428" s="24" t="s">
        <v>582</v>
      </c>
      <c r="H428" s="19" t="s">
        <v>582</v>
      </c>
      <c r="I428" s="19" t="s">
        <v>582</v>
      </c>
      <c r="J428" s="19" t="s">
        <v>582</v>
      </c>
      <c r="K428" s="19" t="s">
        <v>582</v>
      </c>
      <c r="L428" s="19" t="s">
        <v>582</v>
      </c>
      <c r="M428" s="19" t="s">
        <v>582</v>
      </c>
      <c r="N428" s="19" t="s">
        <v>582</v>
      </c>
      <c r="O428" s="19" t="s">
        <v>582</v>
      </c>
      <c r="P428" s="19" t="s">
        <v>582</v>
      </c>
      <c r="Q428" s="48"/>
      <c r="R428" s="44" t="s">
        <v>582</v>
      </c>
      <c r="S428" s="19" t="s">
        <v>582</v>
      </c>
      <c r="T428" s="19" t="s">
        <v>582</v>
      </c>
      <c r="U428" s="19"/>
      <c r="V428" s="19" t="s">
        <v>582</v>
      </c>
      <c r="W428" s="19" t="s">
        <v>582</v>
      </c>
      <c r="X428" s="19" t="s">
        <v>582</v>
      </c>
      <c r="Y428" s="19" t="s">
        <v>582</v>
      </c>
      <c r="Z428" s="19" t="s">
        <v>582</v>
      </c>
      <c r="AA428" s="19" t="s">
        <v>582</v>
      </c>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t="s">
        <v>582</v>
      </c>
      <c r="E429" s="24" t="s">
        <v>582</v>
      </c>
      <c r="F429" s="24" t="s">
        <v>582</v>
      </c>
      <c r="G429" s="24" t="s">
        <v>582</v>
      </c>
      <c r="H429" s="19" t="s">
        <v>582</v>
      </c>
      <c r="I429" s="19" t="s">
        <v>582</v>
      </c>
      <c r="J429" s="19" t="s">
        <v>582</v>
      </c>
      <c r="K429" s="19" t="s">
        <v>582</v>
      </c>
      <c r="L429" s="19" t="s">
        <v>582</v>
      </c>
      <c r="M429" s="19" t="s">
        <v>582</v>
      </c>
      <c r="N429" s="19" t="s">
        <v>582</v>
      </c>
      <c r="O429" s="19" t="s">
        <v>582</v>
      </c>
      <c r="P429" s="19" t="s">
        <v>582</v>
      </c>
      <c r="Q429" s="48"/>
      <c r="R429" s="44" t="s">
        <v>582</v>
      </c>
      <c r="S429" s="19" t="s">
        <v>582</v>
      </c>
      <c r="T429" s="19" t="s">
        <v>582</v>
      </c>
      <c r="U429" s="19"/>
      <c r="V429" s="19" t="s">
        <v>582</v>
      </c>
      <c r="W429" s="19" t="s">
        <v>582</v>
      </c>
      <c r="X429" s="19" t="s">
        <v>582</v>
      </c>
      <c r="Y429" s="19" t="s">
        <v>582</v>
      </c>
      <c r="Z429" s="19" t="s">
        <v>582</v>
      </c>
      <c r="AA429" s="19" t="s">
        <v>582</v>
      </c>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t="s">
        <v>582</v>
      </c>
      <c r="E430" s="24" t="s">
        <v>582</v>
      </c>
      <c r="F430" s="24" t="s">
        <v>582</v>
      </c>
      <c r="G430" s="24" t="s">
        <v>582</v>
      </c>
      <c r="H430" s="19" t="s">
        <v>582</v>
      </c>
      <c r="I430" s="19" t="s">
        <v>582</v>
      </c>
      <c r="J430" s="19" t="s">
        <v>582</v>
      </c>
      <c r="K430" s="19" t="s">
        <v>582</v>
      </c>
      <c r="L430" s="19" t="s">
        <v>582</v>
      </c>
      <c r="M430" s="19" t="s">
        <v>582</v>
      </c>
      <c r="N430" s="19" t="s">
        <v>582</v>
      </c>
      <c r="O430" s="19" t="s">
        <v>582</v>
      </c>
      <c r="P430" s="19" t="s">
        <v>582</v>
      </c>
      <c r="Q430" s="48"/>
      <c r="R430" s="44" t="s">
        <v>582</v>
      </c>
      <c r="S430" s="19" t="s">
        <v>582</v>
      </c>
      <c r="T430" s="19" t="s">
        <v>582</v>
      </c>
      <c r="U430" s="19"/>
      <c r="V430" s="19" t="s">
        <v>582</v>
      </c>
      <c r="W430" s="19" t="s">
        <v>582</v>
      </c>
      <c r="X430" s="19" t="s">
        <v>582</v>
      </c>
      <c r="Y430" s="19" t="s">
        <v>582</v>
      </c>
      <c r="Z430" s="19" t="s">
        <v>582</v>
      </c>
      <c r="AA430" s="19" t="s">
        <v>582</v>
      </c>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t="s">
        <v>582</v>
      </c>
      <c r="E431" s="24" t="s">
        <v>582</v>
      </c>
      <c r="F431" s="24" t="s">
        <v>582</v>
      </c>
      <c r="G431" s="24" t="s">
        <v>582</v>
      </c>
      <c r="H431" s="19" t="s">
        <v>582</v>
      </c>
      <c r="I431" s="19" t="s">
        <v>582</v>
      </c>
      <c r="J431" s="19" t="s">
        <v>582</v>
      </c>
      <c r="K431" s="19" t="s">
        <v>582</v>
      </c>
      <c r="L431" s="19" t="s">
        <v>582</v>
      </c>
      <c r="M431" s="19" t="s">
        <v>582</v>
      </c>
      <c r="N431" s="19" t="s">
        <v>582</v>
      </c>
      <c r="O431" s="19" t="s">
        <v>582</v>
      </c>
      <c r="P431" s="19" t="s">
        <v>582</v>
      </c>
      <c r="Q431" s="48"/>
      <c r="R431" s="44" t="s">
        <v>582</v>
      </c>
      <c r="S431" s="19" t="s">
        <v>582</v>
      </c>
      <c r="T431" s="19" t="s">
        <v>582</v>
      </c>
      <c r="U431" s="19"/>
      <c r="V431" s="19" t="s">
        <v>582</v>
      </c>
      <c r="W431" s="19" t="s">
        <v>582</v>
      </c>
      <c r="X431" s="19" t="s">
        <v>582</v>
      </c>
      <c r="Y431" s="19" t="s">
        <v>582</v>
      </c>
      <c r="Z431" s="19" t="s">
        <v>582</v>
      </c>
      <c r="AA431" s="19" t="s">
        <v>582</v>
      </c>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t="s">
        <v>2592</v>
      </c>
      <c r="G432" s="18" t="s">
        <v>62</v>
      </c>
      <c r="H432" s="18" t="s">
        <v>1189</v>
      </c>
      <c r="I432" s="23">
        <v>0.5</v>
      </c>
      <c r="J432" s="8" t="s">
        <v>1090</v>
      </c>
      <c r="K432" s="8"/>
      <c r="L432" s="283"/>
      <c r="M432" s="8"/>
      <c r="N432" s="8"/>
      <c r="O432" s="281"/>
      <c r="P432" s="8"/>
      <c r="Q432" s="132"/>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A1" name="filter columns"/>
    <protectedRange sqref="J3:P432 F3:F432" name="input cells CPs"/>
  </protectedRanges>
  <autoFilter ref="A1:O432" xr:uid="{98B8CA9E-731A-4B1A-8440-3B7CE63E1F1B}">
    <filterColumn colId="2">
      <filters>
        <filter val="1.3 Operations"/>
      </filters>
    </filterColumn>
    <filterColumn colId="6">
      <filters blank="1">
        <filter val="CPs"/>
        <filter val="CPs / Stakeholders"/>
        <filter val="CPs/Stakeholders"/>
      </filters>
    </filterColumn>
  </autoFilter>
  <dataValidations count="1">
    <dataValidation type="textLength" operator="lessThan" allowBlank="1" showInputMessage="1" showErrorMessage="1" sqref="P1:P432 AA1:AA432" xr:uid="{CF869502-05B6-4B91-A454-870EABA1ECB2}">
      <formula1>256</formula1>
    </dataValidation>
  </dataValidations>
  <pageMargins left="0.7" right="0.7" top="0.75" bottom="0.75" header="0.3" footer="0.3"/>
  <pageSetup paperSize="9" orientation="portrait" horizontalDpi="4294967293"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4C274-B466-4C88-90E2-2B991686F631}">
  <sheetPr filterMode="1"/>
  <dimension ref="A1:AMJ597"/>
  <sheetViews>
    <sheetView workbookViewId="0"/>
  </sheetViews>
  <sheetFormatPr defaultColWidth="9.140625" defaultRowHeight="15.75"/>
  <cols>
    <col min="1" max="1" width="9.140625" style="389"/>
    <col min="2" max="2" width="8" style="439" customWidth="1"/>
    <col min="3" max="3" width="13.5703125" style="440" customWidth="1"/>
    <col min="4" max="4" width="10" style="440" customWidth="1"/>
    <col min="5" max="5" width="60.42578125" style="389" customWidth="1"/>
    <col min="6" max="6" width="25.85546875" style="389" customWidth="1"/>
    <col min="7" max="7" width="12.85546875" style="389" customWidth="1"/>
    <col min="8" max="8" width="22.5703125" style="389" customWidth="1"/>
    <col min="9" max="9" width="14.5703125" style="389" customWidth="1"/>
    <col min="10" max="11" width="19.5703125" style="389" customWidth="1"/>
    <col min="12" max="13" width="16.140625" style="389" customWidth="1"/>
    <col min="14" max="14" width="20.5703125" style="389" customWidth="1"/>
    <col min="15" max="15" width="19.85546875" style="389" customWidth="1"/>
    <col min="16" max="16" width="20.85546875" style="389" customWidth="1"/>
    <col min="17" max="17" width="11.5703125" style="391" hidden="1" customWidth="1"/>
    <col min="18" max="26" width="14.140625" style="327" hidden="1" customWidth="1"/>
    <col min="27" max="27" width="20.85546875" style="389" hidden="1" customWidth="1"/>
    <col min="28" max="51" width="9.140625" style="327"/>
    <col min="52" max="1024" width="9.140625" style="389"/>
    <col min="1025" max="16384" width="9.140625" style="441"/>
  </cols>
  <sheetData>
    <row r="1" spans="1:27" ht="47.25">
      <c r="A1" s="323" t="s">
        <v>28</v>
      </c>
      <c r="B1" s="324" t="s">
        <v>29</v>
      </c>
      <c r="C1" s="323" t="s">
        <v>30</v>
      </c>
      <c r="D1" s="323" t="s">
        <v>31</v>
      </c>
      <c r="E1" s="323" t="s">
        <v>32</v>
      </c>
      <c r="F1" s="323" t="s">
        <v>33</v>
      </c>
      <c r="G1" s="323" t="s">
        <v>34</v>
      </c>
      <c r="H1" s="323" t="s">
        <v>35</v>
      </c>
      <c r="I1" s="323" t="s">
        <v>36</v>
      </c>
      <c r="J1" s="323" t="s">
        <v>37</v>
      </c>
      <c r="K1" s="323" t="s">
        <v>38</v>
      </c>
      <c r="L1" s="323" t="s">
        <v>39</v>
      </c>
      <c r="M1" s="323" t="s">
        <v>40</v>
      </c>
      <c r="N1" s="323" t="s">
        <v>41</v>
      </c>
      <c r="O1" s="323" t="s">
        <v>42</v>
      </c>
      <c r="P1" s="323" t="s">
        <v>43</v>
      </c>
      <c r="Q1" s="325"/>
      <c r="R1" s="326" t="s">
        <v>44</v>
      </c>
      <c r="S1" s="323" t="s">
        <v>45</v>
      </c>
      <c r="T1" s="323" t="s">
        <v>46</v>
      </c>
      <c r="U1" s="323" t="s">
        <v>47</v>
      </c>
      <c r="V1" s="323" t="s">
        <v>48</v>
      </c>
      <c r="W1" s="323" t="s">
        <v>39</v>
      </c>
      <c r="X1" s="323" t="s">
        <v>49</v>
      </c>
      <c r="Y1" s="323" t="s">
        <v>50</v>
      </c>
      <c r="Z1" s="323" t="s">
        <v>51</v>
      </c>
      <c r="AA1" s="323" t="s">
        <v>43</v>
      </c>
    </row>
    <row r="2" spans="1:27" hidden="1">
      <c r="A2" s="328" t="s">
        <v>52</v>
      </c>
      <c r="B2" s="329"/>
      <c r="C2" s="330"/>
      <c r="D2" s="330"/>
      <c r="E2" s="330"/>
      <c r="F2" s="330"/>
      <c r="G2" s="330"/>
      <c r="H2" s="330"/>
      <c r="I2" s="330"/>
      <c r="J2" s="330"/>
      <c r="K2" s="330"/>
      <c r="L2" s="330"/>
      <c r="M2" s="330"/>
      <c r="N2" s="330"/>
      <c r="O2" s="330"/>
      <c r="P2" s="331"/>
      <c r="Q2" s="332"/>
      <c r="R2" s="333"/>
      <c r="S2" s="330"/>
      <c r="T2" s="330"/>
      <c r="U2" s="330"/>
      <c r="V2" s="330"/>
      <c r="W2" s="330"/>
      <c r="X2" s="330"/>
      <c r="Y2" s="330"/>
      <c r="Z2" s="330"/>
      <c r="AA2" s="330"/>
    </row>
    <row r="3" spans="1:27" ht="31.5" hidden="1">
      <c r="A3" s="334" t="s">
        <v>53</v>
      </c>
      <c r="B3" s="335" t="s">
        <v>54</v>
      </c>
      <c r="C3" s="334" t="s">
        <v>55</v>
      </c>
      <c r="D3" s="334" t="s">
        <v>56</v>
      </c>
      <c r="E3" s="334" t="s">
        <v>57</v>
      </c>
      <c r="F3" s="336"/>
      <c r="G3" s="336" t="s">
        <v>58</v>
      </c>
      <c r="H3" s="336" t="s">
        <v>59</v>
      </c>
      <c r="I3" s="337">
        <v>1</v>
      </c>
      <c r="J3" s="336"/>
      <c r="K3" s="336"/>
      <c r="L3" s="338"/>
      <c r="M3" s="336"/>
      <c r="N3" s="336"/>
      <c r="O3" s="339"/>
      <c r="P3" s="336"/>
      <c r="Q3" s="340"/>
      <c r="R3" s="341"/>
      <c r="S3" s="336"/>
      <c r="T3" s="336"/>
      <c r="U3" s="336"/>
      <c r="V3" s="336"/>
      <c r="W3" s="336"/>
      <c r="X3" s="336"/>
      <c r="Y3" s="336"/>
      <c r="Z3" s="336"/>
      <c r="AA3" s="336"/>
    </row>
    <row r="4" spans="1:27" ht="283.5" hidden="1">
      <c r="A4" s="334" t="s">
        <v>53</v>
      </c>
      <c r="B4" s="335" t="s">
        <v>54</v>
      </c>
      <c r="C4" s="334" t="s">
        <v>55</v>
      </c>
      <c r="D4" s="334" t="s">
        <v>60</v>
      </c>
      <c r="E4" s="342" t="s">
        <v>2657</v>
      </c>
      <c r="F4" s="334" t="s">
        <v>2658</v>
      </c>
      <c r="G4" s="334" t="s">
        <v>62</v>
      </c>
      <c r="H4" s="334" t="s">
        <v>59</v>
      </c>
      <c r="I4" s="343">
        <v>1</v>
      </c>
      <c r="J4" s="343" t="s">
        <v>1090</v>
      </c>
      <c r="K4" s="343" t="s">
        <v>2659</v>
      </c>
      <c r="L4" s="344"/>
      <c r="M4" s="343"/>
      <c r="N4" s="343" t="s">
        <v>2660</v>
      </c>
      <c r="O4" s="345"/>
      <c r="P4" s="334" t="s">
        <v>2661</v>
      </c>
      <c r="Q4" s="346"/>
      <c r="R4" s="347"/>
      <c r="S4" s="343"/>
      <c r="T4" s="343"/>
      <c r="U4" s="343"/>
      <c r="V4" s="343"/>
      <c r="W4" s="343"/>
      <c r="X4" s="343"/>
      <c r="Y4" s="343"/>
      <c r="Z4" s="343"/>
      <c r="AA4" s="334"/>
    </row>
    <row r="5" spans="1:27" ht="141.75" hidden="1">
      <c r="A5" s="334" t="s">
        <v>53</v>
      </c>
      <c r="B5" s="335" t="s">
        <v>54</v>
      </c>
      <c r="C5" s="334" t="s">
        <v>55</v>
      </c>
      <c r="D5" s="334" t="s">
        <v>63</v>
      </c>
      <c r="E5" s="348" t="s">
        <v>64</v>
      </c>
      <c r="F5" s="334" t="s">
        <v>2662</v>
      </c>
      <c r="G5" s="334" t="s">
        <v>62</v>
      </c>
      <c r="H5" s="334" t="s">
        <v>59</v>
      </c>
      <c r="I5" s="343">
        <v>1</v>
      </c>
      <c r="J5" s="343" t="s">
        <v>1191</v>
      </c>
      <c r="K5" s="343" t="s">
        <v>2663</v>
      </c>
      <c r="L5" s="344"/>
      <c r="M5" s="343"/>
      <c r="N5" s="343" t="s">
        <v>2660</v>
      </c>
      <c r="O5" s="345"/>
      <c r="P5" s="343"/>
      <c r="Q5" s="346"/>
      <c r="R5" s="347"/>
      <c r="S5" s="343"/>
      <c r="T5" s="343"/>
      <c r="U5" s="343"/>
      <c r="V5" s="343"/>
      <c r="W5" s="343"/>
      <c r="X5" s="343"/>
      <c r="Y5" s="343"/>
      <c r="Z5" s="343"/>
      <c r="AA5" s="334"/>
    </row>
    <row r="6" spans="1:27" ht="204.75" hidden="1">
      <c r="A6" s="334" t="s">
        <v>53</v>
      </c>
      <c r="B6" s="335" t="s">
        <v>54</v>
      </c>
      <c r="C6" s="334" t="s">
        <v>55</v>
      </c>
      <c r="D6" s="334" t="s">
        <v>65</v>
      </c>
      <c r="E6" s="348" t="s">
        <v>66</v>
      </c>
      <c r="F6" s="334"/>
      <c r="G6" s="334" t="s">
        <v>62</v>
      </c>
      <c r="H6" s="334" t="s">
        <v>59</v>
      </c>
      <c r="I6" s="343">
        <v>1</v>
      </c>
      <c r="J6" s="343" t="s">
        <v>1090</v>
      </c>
      <c r="K6" s="343" t="s">
        <v>2664</v>
      </c>
      <c r="L6" s="344"/>
      <c r="M6" s="343"/>
      <c r="N6" s="343" t="s">
        <v>10</v>
      </c>
      <c r="O6" s="345"/>
      <c r="P6" s="334" t="s">
        <v>2665</v>
      </c>
      <c r="Q6" s="346"/>
      <c r="R6" s="347"/>
      <c r="S6" s="343"/>
      <c r="T6" s="343"/>
      <c r="U6" s="343"/>
      <c r="V6" s="343"/>
      <c r="W6" s="343"/>
      <c r="X6" s="343"/>
      <c r="Y6" s="343"/>
      <c r="Z6" s="343"/>
      <c r="AA6" s="334"/>
    </row>
    <row r="7" spans="1:27" ht="173.25" hidden="1">
      <c r="A7" s="334" t="s">
        <v>53</v>
      </c>
      <c r="B7" s="335" t="s">
        <v>54</v>
      </c>
      <c r="C7" s="334" t="s">
        <v>55</v>
      </c>
      <c r="D7" s="334" t="s">
        <v>67</v>
      </c>
      <c r="E7" s="348" t="s">
        <v>68</v>
      </c>
      <c r="F7" s="334" t="s">
        <v>2666</v>
      </c>
      <c r="G7" s="334" t="s">
        <v>62</v>
      </c>
      <c r="H7" s="334" t="s">
        <v>59</v>
      </c>
      <c r="I7" s="343">
        <v>1</v>
      </c>
      <c r="J7" s="343" t="s">
        <v>1090</v>
      </c>
      <c r="K7" s="343" t="s">
        <v>2667</v>
      </c>
      <c r="L7" s="344"/>
      <c r="M7" s="343"/>
      <c r="N7" s="343"/>
      <c r="O7" s="345"/>
      <c r="P7" s="343" t="s">
        <v>2668</v>
      </c>
      <c r="Q7" s="346"/>
      <c r="R7" s="347"/>
      <c r="S7" s="343"/>
      <c r="T7" s="343"/>
      <c r="U7" s="343"/>
      <c r="V7" s="343"/>
      <c r="W7" s="343"/>
      <c r="X7" s="343"/>
      <c r="Y7" s="343"/>
      <c r="Z7" s="343"/>
      <c r="AA7" s="334"/>
    </row>
    <row r="8" spans="1:27" ht="63" hidden="1">
      <c r="A8" s="334" t="s">
        <v>53</v>
      </c>
      <c r="B8" s="335" t="s">
        <v>54</v>
      </c>
      <c r="C8" s="334" t="s">
        <v>55</v>
      </c>
      <c r="D8" s="334" t="s">
        <v>69</v>
      </c>
      <c r="E8" s="334" t="s">
        <v>70</v>
      </c>
      <c r="F8" s="334"/>
      <c r="G8" s="334" t="s">
        <v>71</v>
      </c>
      <c r="H8" s="334" t="s">
        <v>72</v>
      </c>
      <c r="I8" s="334" t="s">
        <v>73</v>
      </c>
      <c r="J8" s="334"/>
      <c r="K8" s="334"/>
      <c r="L8" s="344"/>
      <c r="M8" s="334"/>
      <c r="N8" s="334"/>
      <c r="O8" s="345"/>
      <c r="P8" s="334"/>
      <c r="Q8" s="340"/>
      <c r="R8" s="349"/>
      <c r="S8" s="334"/>
      <c r="T8" s="334"/>
      <c r="U8" s="334"/>
      <c r="V8" s="334"/>
      <c r="W8" s="334"/>
      <c r="X8" s="334"/>
      <c r="Y8" s="334"/>
      <c r="Z8" s="334"/>
      <c r="AA8" s="334"/>
    </row>
    <row r="9" spans="1:27" ht="283.5" hidden="1">
      <c r="A9" s="334" t="s">
        <v>53</v>
      </c>
      <c r="B9" s="335" t="s">
        <v>54</v>
      </c>
      <c r="C9" s="334" t="s">
        <v>55</v>
      </c>
      <c r="D9" s="334" t="s">
        <v>74</v>
      </c>
      <c r="E9" s="334" t="s">
        <v>75</v>
      </c>
      <c r="F9" s="334"/>
      <c r="G9" s="334" t="s">
        <v>71</v>
      </c>
      <c r="H9" s="334" t="s">
        <v>76</v>
      </c>
      <c r="I9" s="334" t="s">
        <v>77</v>
      </c>
      <c r="J9" s="334"/>
      <c r="K9" s="350"/>
      <c r="L9" s="344"/>
      <c r="M9" s="334"/>
      <c r="N9" s="334"/>
      <c r="O9" s="345"/>
      <c r="P9" s="334"/>
      <c r="Q9" s="340"/>
      <c r="R9" s="349"/>
      <c r="S9" s="334"/>
      <c r="T9" s="334"/>
      <c r="U9" s="334"/>
      <c r="V9" s="334"/>
      <c r="W9" s="334"/>
      <c r="X9" s="334"/>
      <c r="Y9" s="334"/>
      <c r="Z9" s="334"/>
      <c r="AA9" s="334"/>
    </row>
    <row r="10" spans="1:27" ht="63" hidden="1">
      <c r="A10" s="334" t="s">
        <v>53</v>
      </c>
      <c r="B10" s="335" t="s">
        <v>54</v>
      </c>
      <c r="C10" s="334" t="s">
        <v>55</v>
      </c>
      <c r="D10" s="334" t="s">
        <v>78</v>
      </c>
      <c r="E10" s="334" t="s">
        <v>79</v>
      </c>
      <c r="F10" s="334" t="s">
        <v>2666</v>
      </c>
      <c r="G10" s="334" t="s">
        <v>62</v>
      </c>
      <c r="H10" s="334" t="s">
        <v>80</v>
      </c>
      <c r="I10" s="334">
        <v>5</v>
      </c>
      <c r="J10" s="334" t="s">
        <v>8</v>
      </c>
      <c r="K10" s="334"/>
      <c r="L10" s="344"/>
      <c r="M10" s="334"/>
      <c r="N10" s="334"/>
      <c r="O10" s="345"/>
      <c r="P10" s="334" t="s">
        <v>2669</v>
      </c>
      <c r="Q10" s="340"/>
      <c r="R10" s="349"/>
      <c r="S10" s="334"/>
      <c r="T10" s="334"/>
      <c r="U10" s="334"/>
      <c r="V10" s="334"/>
      <c r="W10" s="334"/>
      <c r="X10" s="334"/>
      <c r="Y10" s="334"/>
      <c r="Z10" s="334"/>
      <c r="AA10" s="334"/>
    </row>
    <row r="11" spans="1:27" ht="63" hidden="1">
      <c r="A11" s="334" t="s">
        <v>53</v>
      </c>
      <c r="B11" s="335" t="s">
        <v>54</v>
      </c>
      <c r="C11" s="334" t="s">
        <v>81</v>
      </c>
      <c r="D11" s="334" t="s">
        <v>82</v>
      </c>
      <c r="E11" s="334" t="s">
        <v>83</v>
      </c>
      <c r="F11" s="336"/>
      <c r="G11" s="336" t="s">
        <v>62</v>
      </c>
      <c r="H11" s="336" t="s">
        <v>84</v>
      </c>
      <c r="I11" s="336" t="s">
        <v>85</v>
      </c>
      <c r="J11" s="336"/>
      <c r="K11" s="336"/>
      <c r="L11" s="338"/>
      <c r="M11" s="336"/>
      <c r="N11" s="336"/>
      <c r="O11" s="339"/>
      <c r="P11" s="336"/>
      <c r="Q11" s="340"/>
      <c r="R11" s="341"/>
      <c r="S11" s="336"/>
      <c r="T11" s="336"/>
      <c r="U11" s="336"/>
      <c r="V11" s="336"/>
      <c r="W11" s="336"/>
      <c r="X11" s="336"/>
      <c r="Y11" s="336"/>
      <c r="Z11" s="336"/>
      <c r="AA11" s="336"/>
    </row>
    <row r="12" spans="1:27" ht="409.5" hidden="1">
      <c r="A12" s="334" t="s">
        <v>53</v>
      </c>
      <c r="B12" s="335" t="s">
        <v>54</v>
      </c>
      <c r="C12" s="334" t="s">
        <v>81</v>
      </c>
      <c r="D12" s="334" t="s">
        <v>86</v>
      </c>
      <c r="E12" s="348" t="s">
        <v>87</v>
      </c>
      <c r="F12" s="334" t="s">
        <v>2666</v>
      </c>
      <c r="G12" s="334" t="s">
        <v>62</v>
      </c>
      <c r="H12" s="334" t="s">
        <v>84</v>
      </c>
      <c r="I12" s="334" t="s">
        <v>85</v>
      </c>
      <c r="J12" s="334" t="s">
        <v>1090</v>
      </c>
      <c r="K12" s="334" t="s">
        <v>2670</v>
      </c>
      <c r="L12" s="344"/>
      <c r="M12" s="334"/>
      <c r="N12" s="334" t="s">
        <v>2671</v>
      </c>
      <c r="O12" s="345"/>
      <c r="P12" s="334" t="s">
        <v>2672</v>
      </c>
      <c r="Q12" s="340"/>
      <c r="R12" s="349"/>
      <c r="S12" s="334"/>
      <c r="T12" s="334"/>
      <c r="U12" s="334"/>
      <c r="V12" s="334"/>
      <c r="W12" s="334"/>
      <c r="X12" s="334"/>
      <c r="Y12" s="334"/>
      <c r="Z12" s="334"/>
      <c r="AA12" s="334"/>
    </row>
    <row r="13" spans="1:27" ht="63" hidden="1">
      <c r="A13" s="334" t="s">
        <v>53</v>
      </c>
      <c r="B13" s="335" t="s">
        <v>54</v>
      </c>
      <c r="C13" s="334" t="s">
        <v>81</v>
      </c>
      <c r="D13" s="334" t="s">
        <v>88</v>
      </c>
      <c r="E13" s="348" t="s">
        <v>89</v>
      </c>
      <c r="F13" s="334" t="s">
        <v>2666</v>
      </c>
      <c r="G13" s="334" t="s">
        <v>62</v>
      </c>
      <c r="H13" s="334" t="s">
        <v>84</v>
      </c>
      <c r="I13" s="334" t="s">
        <v>85</v>
      </c>
      <c r="J13" s="334" t="s">
        <v>1191</v>
      </c>
      <c r="K13" s="334" t="s">
        <v>2673</v>
      </c>
      <c r="L13" s="344" t="s">
        <v>1380</v>
      </c>
      <c r="M13" s="334"/>
      <c r="N13" s="334" t="s">
        <v>2674</v>
      </c>
      <c r="O13" s="345" t="s">
        <v>2675</v>
      </c>
      <c r="P13" s="334"/>
      <c r="Q13" s="340"/>
      <c r="R13" s="349"/>
      <c r="S13" s="334"/>
      <c r="T13" s="334"/>
      <c r="U13" s="334"/>
      <c r="V13" s="334"/>
      <c r="W13" s="334"/>
      <c r="X13" s="334"/>
      <c r="Y13" s="334"/>
      <c r="Z13" s="334"/>
      <c r="AA13" s="334"/>
    </row>
    <row r="14" spans="1:27" ht="252" hidden="1">
      <c r="A14" s="334" t="s">
        <v>53</v>
      </c>
      <c r="B14" s="335" t="s">
        <v>54</v>
      </c>
      <c r="C14" s="334" t="s">
        <v>81</v>
      </c>
      <c r="D14" s="334" t="s">
        <v>90</v>
      </c>
      <c r="E14" s="348" t="s">
        <v>91</v>
      </c>
      <c r="F14" s="334" t="s">
        <v>2676</v>
      </c>
      <c r="G14" s="334" t="s">
        <v>62</v>
      </c>
      <c r="H14" s="334" t="s">
        <v>84</v>
      </c>
      <c r="I14" s="334" t="s">
        <v>85</v>
      </c>
      <c r="J14" s="334" t="s">
        <v>1090</v>
      </c>
      <c r="K14" s="334" t="s">
        <v>2677</v>
      </c>
      <c r="L14" s="344"/>
      <c r="M14" s="334"/>
      <c r="N14" s="334"/>
      <c r="O14" s="345"/>
      <c r="P14" s="334" t="s">
        <v>2678</v>
      </c>
      <c r="Q14" s="340"/>
      <c r="R14" s="349"/>
      <c r="S14" s="334"/>
      <c r="T14" s="334"/>
      <c r="U14" s="334"/>
      <c r="V14" s="334"/>
      <c r="W14" s="334"/>
      <c r="X14" s="334"/>
      <c r="Y14" s="334"/>
      <c r="Z14" s="334"/>
      <c r="AA14" s="334"/>
    </row>
    <row r="15" spans="1:27" ht="204.75" hidden="1">
      <c r="A15" s="334" t="s">
        <v>53</v>
      </c>
      <c r="B15" s="335" t="s">
        <v>54</v>
      </c>
      <c r="C15" s="334" t="s">
        <v>81</v>
      </c>
      <c r="D15" s="334" t="s">
        <v>92</v>
      </c>
      <c r="E15" s="348" t="s">
        <v>93</v>
      </c>
      <c r="F15" s="334" t="s">
        <v>2666</v>
      </c>
      <c r="G15" s="334" t="s">
        <v>62</v>
      </c>
      <c r="H15" s="334" t="s">
        <v>84</v>
      </c>
      <c r="I15" s="334" t="s">
        <v>85</v>
      </c>
      <c r="J15" s="334" t="s">
        <v>1191</v>
      </c>
      <c r="K15" s="334" t="s">
        <v>2679</v>
      </c>
      <c r="L15" s="344" t="s">
        <v>2680</v>
      </c>
      <c r="M15" s="334"/>
      <c r="N15" s="334" t="s">
        <v>2681</v>
      </c>
      <c r="O15" s="345" t="s">
        <v>2675</v>
      </c>
      <c r="P15" s="334" t="s">
        <v>2682</v>
      </c>
      <c r="Q15" s="340"/>
      <c r="R15" s="349"/>
      <c r="S15" s="334"/>
      <c r="T15" s="334"/>
      <c r="U15" s="334"/>
      <c r="V15" s="334"/>
      <c r="W15" s="334"/>
      <c r="X15" s="334"/>
      <c r="Y15" s="334"/>
      <c r="Z15" s="334"/>
      <c r="AA15" s="334"/>
    </row>
    <row r="16" spans="1:27" ht="126" hidden="1">
      <c r="A16" s="334" t="s">
        <v>53</v>
      </c>
      <c r="B16" s="335" t="s">
        <v>54</v>
      </c>
      <c r="C16" s="334" t="s">
        <v>81</v>
      </c>
      <c r="D16" s="334" t="s">
        <v>94</v>
      </c>
      <c r="E16" s="348" t="s">
        <v>95</v>
      </c>
      <c r="F16" s="334" t="s">
        <v>2666</v>
      </c>
      <c r="G16" s="334" t="s">
        <v>62</v>
      </c>
      <c r="H16" s="334" t="s">
        <v>84</v>
      </c>
      <c r="I16" s="334" t="s">
        <v>85</v>
      </c>
      <c r="J16" s="334" t="s">
        <v>1191</v>
      </c>
      <c r="K16" s="334" t="s">
        <v>2683</v>
      </c>
      <c r="L16" s="344" t="s">
        <v>2684</v>
      </c>
      <c r="M16" s="334"/>
      <c r="N16" s="334" t="s">
        <v>10</v>
      </c>
      <c r="O16" s="345"/>
      <c r="P16" s="334" t="s">
        <v>2685</v>
      </c>
      <c r="Q16" s="340"/>
      <c r="R16" s="349"/>
      <c r="S16" s="334"/>
      <c r="T16" s="334"/>
      <c r="U16" s="334"/>
      <c r="V16" s="334"/>
      <c r="W16" s="334"/>
      <c r="X16" s="334"/>
      <c r="Y16" s="334"/>
      <c r="Z16" s="334"/>
      <c r="AA16" s="334"/>
    </row>
    <row r="17" spans="1:27" ht="173.25" hidden="1">
      <c r="A17" s="334" t="s">
        <v>53</v>
      </c>
      <c r="B17" s="335" t="s">
        <v>54</v>
      </c>
      <c r="C17" s="334" t="s">
        <v>81</v>
      </c>
      <c r="D17" s="334" t="s">
        <v>96</v>
      </c>
      <c r="E17" s="348" t="s">
        <v>97</v>
      </c>
      <c r="F17" s="334" t="s">
        <v>2666</v>
      </c>
      <c r="G17" s="334" t="s">
        <v>62</v>
      </c>
      <c r="H17" s="334" t="s">
        <v>84</v>
      </c>
      <c r="I17" s="334" t="s">
        <v>85</v>
      </c>
      <c r="J17" s="334" t="s">
        <v>1191</v>
      </c>
      <c r="K17" s="334" t="s">
        <v>2686</v>
      </c>
      <c r="L17" s="344" t="s">
        <v>1380</v>
      </c>
      <c r="M17" s="334"/>
      <c r="N17" s="334" t="s">
        <v>10</v>
      </c>
      <c r="O17" s="345"/>
      <c r="P17" s="334" t="s">
        <v>2687</v>
      </c>
      <c r="Q17" s="340"/>
      <c r="R17" s="349"/>
      <c r="S17" s="334"/>
      <c r="T17" s="334"/>
      <c r="U17" s="334"/>
      <c r="V17" s="334"/>
      <c r="W17" s="334"/>
      <c r="X17" s="334"/>
      <c r="Y17" s="334"/>
      <c r="Z17" s="334"/>
      <c r="AA17" s="334"/>
    </row>
    <row r="18" spans="1:27" ht="204.75" hidden="1">
      <c r="A18" s="334" t="s">
        <v>53</v>
      </c>
      <c r="B18" s="335" t="s">
        <v>54</v>
      </c>
      <c r="C18" s="334" t="s">
        <v>81</v>
      </c>
      <c r="D18" s="334" t="s">
        <v>98</v>
      </c>
      <c r="E18" s="348" t="s">
        <v>99</v>
      </c>
      <c r="F18" s="334" t="s">
        <v>2658</v>
      </c>
      <c r="G18" s="334" t="s">
        <v>62</v>
      </c>
      <c r="H18" s="334" t="s">
        <v>84</v>
      </c>
      <c r="I18" s="334" t="s">
        <v>85</v>
      </c>
      <c r="J18" s="334" t="s">
        <v>1191</v>
      </c>
      <c r="K18" s="334" t="s">
        <v>2688</v>
      </c>
      <c r="L18" s="344" t="s">
        <v>1358</v>
      </c>
      <c r="M18" s="334"/>
      <c r="N18" s="334" t="s">
        <v>2689</v>
      </c>
      <c r="O18" s="345"/>
      <c r="P18" s="334" t="s">
        <v>2690</v>
      </c>
      <c r="Q18" s="340"/>
      <c r="R18" s="349"/>
      <c r="S18" s="334"/>
      <c r="T18" s="334"/>
      <c r="U18" s="334"/>
      <c r="V18" s="334"/>
      <c r="W18" s="334"/>
      <c r="X18" s="334"/>
      <c r="Y18" s="334"/>
      <c r="Z18" s="334"/>
      <c r="AA18" s="334"/>
    </row>
    <row r="19" spans="1:27" ht="78.75" hidden="1">
      <c r="A19" s="334" t="s">
        <v>53</v>
      </c>
      <c r="B19" s="335" t="s">
        <v>54</v>
      </c>
      <c r="C19" s="334" t="s">
        <v>81</v>
      </c>
      <c r="D19" s="334" t="s">
        <v>100</v>
      </c>
      <c r="E19" s="348" t="s">
        <v>101</v>
      </c>
      <c r="F19" s="334" t="s">
        <v>2658</v>
      </c>
      <c r="G19" s="334" t="s">
        <v>62</v>
      </c>
      <c r="H19" s="334" t="s">
        <v>84</v>
      </c>
      <c r="I19" s="334" t="s">
        <v>85</v>
      </c>
      <c r="J19" s="334" t="s">
        <v>1191</v>
      </c>
      <c r="K19" s="334" t="s">
        <v>2691</v>
      </c>
      <c r="L19" s="344" t="s">
        <v>1380</v>
      </c>
      <c r="M19" s="334"/>
      <c r="N19" s="334" t="s">
        <v>10</v>
      </c>
      <c r="O19" s="345"/>
      <c r="P19" s="334"/>
      <c r="Q19" s="340"/>
      <c r="R19" s="349"/>
      <c r="S19" s="334"/>
      <c r="T19" s="334"/>
      <c r="U19" s="334"/>
      <c r="V19" s="334"/>
      <c r="W19" s="334"/>
      <c r="X19" s="334"/>
      <c r="Y19" s="334"/>
      <c r="Z19" s="334"/>
      <c r="AA19" s="334"/>
    </row>
    <row r="20" spans="1:27" ht="63" hidden="1">
      <c r="A20" s="334" t="s">
        <v>53</v>
      </c>
      <c r="B20" s="335" t="s">
        <v>54</v>
      </c>
      <c r="C20" s="334" t="s">
        <v>81</v>
      </c>
      <c r="D20" s="334" t="s">
        <v>102</v>
      </c>
      <c r="E20" s="348" t="s">
        <v>103</v>
      </c>
      <c r="F20" s="334" t="s">
        <v>2676</v>
      </c>
      <c r="G20" s="334" t="s">
        <v>62</v>
      </c>
      <c r="H20" s="334" t="s">
        <v>84</v>
      </c>
      <c r="I20" s="334" t="s">
        <v>85</v>
      </c>
      <c r="J20" s="334" t="s">
        <v>1191</v>
      </c>
      <c r="K20" s="334" t="s">
        <v>2692</v>
      </c>
      <c r="L20" s="344" t="s">
        <v>1358</v>
      </c>
      <c r="M20" s="334"/>
      <c r="N20" s="334"/>
      <c r="O20" s="345"/>
      <c r="P20" s="334" t="s">
        <v>2693</v>
      </c>
      <c r="Q20" s="340"/>
      <c r="R20" s="349"/>
      <c r="S20" s="334"/>
      <c r="T20" s="334"/>
      <c r="U20" s="334"/>
      <c r="V20" s="334"/>
      <c r="W20" s="334"/>
      <c r="X20" s="334"/>
      <c r="Y20" s="334"/>
      <c r="Z20" s="334"/>
      <c r="AA20" s="334"/>
    </row>
    <row r="21" spans="1:27" ht="142.5" hidden="1" customHeight="1">
      <c r="A21" s="334" t="s">
        <v>53</v>
      </c>
      <c r="B21" s="335" t="s">
        <v>54</v>
      </c>
      <c r="C21" s="334" t="s">
        <v>81</v>
      </c>
      <c r="D21" s="334" t="s">
        <v>104</v>
      </c>
      <c r="E21" s="334" t="s">
        <v>105</v>
      </c>
      <c r="F21" s="334" t="s">
        <v>2666</v>
      </c>
      <c r="G21" s="334" t="s">
        <v>62</v>
      </c>
      <c r="H21" s="334" t="s">
        <v>106</v>
      </c>
      <c r="I21" s="343">
        <v>1</v>
      </c>
      <c r="J21" s="343" t="s">
        <v>1191</v>
      </c>
      <c r="K21" s="351" t="s">
        <v>2694</v>
      </c>
      <c r="L21" s="344" t="s">
        <v>2299</v>
      </c>
      <c r="M21" s="343"/>
      <c r="N21" s="343"/>
      <c r="O21" s="345"/>
      <c r="P21" s="334"/>
      <c r="Q21" s="346"/>
      <c r="R21" s="347"/>
      <c r="S21" s="343"/>
      <c r="T21" s="343"/>
      <c r="U21" s="343"/>
      <c r="V21" s="343"/>
      <c r="W21" s="343"/>
      <c r="X21" s="343"/>
      <c r="Y21" s="343"/>
      <c r="Z21" s="343"/>
      <c r="AA21" s="334"/>
    </row>
    <row r="22" spans="1:27" ht="65.25" hidden="1" customHeight="1">
      <c r="A22" s="334" t="s">
        <v>53</v>
      </c>
      <c r="B22" s="335" t="s">
        <v>54</v>
      </c>
      <c r="C22" s="334" t="s">
        <v>81</v>
      </c>
      <c r="D22" s="334" t="s">
        <v>107</v>
      </c>
      <c r="E22" s="334" t="s">
        <v>108</v>
      </c>
      <c r="F22" s="334" t="s">
        <v>2666</v>
      </c>
      <c r="G22" s="334" t="s">
        <v>62</v>
      </c>
      <c r="H22" s="334" t="s">
        <v>109</v>
      </c>
      <c r="I22" s="352" t="s">
        <v>110</v>
      </c>
      <c r="J22" s="334" t="s">
        <v>1090</v>
      </c>
      <c r="K22" s="334" t="s">
        <v>2695</v>
      </c>
      <c r="L22" s="344"/>
      <c r="M22" s="334"/>
      <c r="N22" s="334"/>
      <c r="O22" s="345"/>
      <c r="P22" s="334"/>
      <c r="Q22" s="340"/>
      <c r="R22" s="349"/>
      <c r="S22" s="334"/>
      <c r="T22" s="334"/>
      <c r="U22" s="334"/>
      <c r="V22" s="334"/>
      <c r="W22" s="334"/>
      <c r="X22" s="334"/>
      <c r="Y22" s="334"/>
      <c r="Z22" s="334"/>
      <c r="AA22" s="334"/>
    </row>
    <row r="23" spans="1:27" ht="78.75" hidden="1">
      <c r="A23" s="334" t="s">
        <v>53</v>
      </c>
      <c r="B23" s="335" t="s">
        <v>54</v>
      </c>
      <c r="C23" s="334" t="s">
        <v>81</v>
      </c>
      <c r="D23" s="334" t="s">
        <v>111</v>
      </c>
      <c r="E23" s="334" t="s">
        <v>112</v>
      </c>
      <c r="F23" s="336"/>
      <c r="G23" s="336" t="s">
        <v>62</v>
      </c>
      <c r="H23" s="336" t="s">
        <v>113</v>
      </c>
      <c r="I23" s="337">
        <v>1</v>
      </c>
      <c r="J23" s="337"/>
      <c r="K23" s="336"/>
      <c r="L23" s="338"/>
      <c r="M23" s="337"/>
      <c r="N23" s="337"/>
      <c r="O23" s="339"/>
      <c r="P23" s="336"/>
      <c r="Q23" s="346"/>
      <c r="R23" s="353"/>
      <c r="S23" s="337"/>
      <c r="T23" s="337"/>
      <c r="U23" s="337"/>
      <c r="V23" s="337"/>
      <c r="W23" s="337"/>
      <c r="X23" s="337"/>
      <c r="Y23" s="337"/>
      <c r="Z23" s="337"/>
      <c r="AA23" s="336"/>
    </row>
    <row r="24" spans="1:27" ht="63.75" hidden="1" customHeight="1">
      <c r="A24" s="334" t="s">
        <v>53</v>
      </c>
      <c r="B24" s="335" t="s">
        <v>54</v>
      </c>
      <c r="C24" s="334" t="s">
        <v>81</v>
      </c>
      <c r="D24" s="334" t="s">
        <v>114</v>
      </c>
      <c r="E24" s="348" t="s">
        <v>115</v>
      </c>
      <c r="F24" s="334" t="s">
        <v>2676</v>
      </c>
      <c r="G24" s="334" t="s">
        <v>62</v>
      </c>
      <c r="H24" s="334" t="s">
        <v>113</v>
      </c>
      <c r="I24" s="343">
        <v>1</v>
      </c>
      <c r="J24" s="343" t="s">
        <v>1191</v>
      </c>
      <c r="K24" s="351" t="s">
        <v>2696</v>
      </c>
      <c r="L24" s="344" t="s">
        <v>2387</v>
      </c>
      <c r="M24" s="343"/>
      <c r="N24" s="343" t="s">
        <v>2697</v>
      </c>
      <c r="O24" s="345"/>
      <c r="P24" s="334"/>
      <c r="Q24" s="346"/>
      <c r="R24" s="347"/>
      <c r="S24" s="343"/>
      <c r="T24" s="343"/>
      <c r="U24" s="343"/>
      <c r="V24" s="343"/>
      <c r="W24" s="343"/>
      <c r="X24" s="343"/>
      <c r="Y24" s="343"/>
      <c r="Z24" s="343"/>
      <c r="AA24" s="334"/>
    </row>
    <row r="25" spans="1:27" ht="126" hidden="1">
      <c r="A25" s="334" t="s">
        <v>53</v>
      </c>
      <c r="B25" s="335" t="s">
        <v>54</v>
      </c>
      <c r="C25" s="334" t="s">
        <v>81</v>
      </c>
      <c r="D25" s="334" t="s">
        <v>116</v>
      </c>
      <c r="E25" s="348" t="s">
        <v>117</v>
      </c>
      <c r="F25" s="334" t="s">
        <v>2666</v>
      </c>
      <c r="G25" s="334" t="s">
        <v>62</v>
      </c>
      <c r="H25" s="334" t="s">
        <v>113</v>
      </c>
      <c r="I25" s="343">
        <v>1</v>
      </c>
      <c r="J25" s="343" t="s">
        <v>1191</v>
      </c>
      <c r="K25" s="343" t="s">
        <v>2698</v>
      </c>
      <c r="L25" s="344"/>
      <c r="M25" s="343"/>
      <c r="N25" s="343"/>
      <c r="O25" s="345"/>
      <c r="P25" s="334"/>
      <c r="Q25" s="346"/>
      <c r="R25" s="347"/>
      <c r="S25" s="343"/>
      <c r="T25" s="343"/>
      <c r="U25" s="343"/>
      <c r="V25" s="343"/>
      <c r="W25" s="343"/>
      <c r="X25" s="343"/>
      <c r="Y25" s="343"/>
      <c r="Z25" s="343"/>
      <c r="AA25" s="334"/>
    </row>
    <row r="26" spans="1:27" ht="126" hidden="1">
      <c r="A26" s="334" t="s">
        <v>53</v>
      </c>
      <c r="B26" s="335" t="s">
        <v>54</v>
      </c>
      <c r="C26" s="334" t="s">
        <v>81</v>
      </c>
      <c r="D26" s="334" t="s">
        <v>118</v>
      </c>
      <c r="E26" s="348" t="s">
        <v>119</v>
      </c>
      <c r="F26" s="334" t="s">
        <v>2666</v>
      </c>
      <c r="G26" s="334" t="s">
        <v>62</v>
      </c>
      <c r="H26" s="334" t="s">
        <v>113</v>
      </c>
      <c r="I26" s="343">
        <v>1</v>
      </c>
      <c r="J26" s="343" t="s">
        <v>8</v>
      </c>
      <c r="K26" s="343" t="s">
        <v>2699</v>
      </c>
      <c r="L26" s="344" t="s">
        <v>1380</v>
      </c>
      <c r="M26" s="343"/>
      <c r="N26" s="343"/>
      <c r="O26" s="345"/>
      <c r="P26" s="334" t="s">
        <v>2700</v>
      </c>
      <c r="Q26" s="346"/>
      <c r="R26" s="347"/>
      <c r="S26" s="343"/>
      <c r="T26" s="343"/>
      <c r="U26" s="343"/>
      <c r="V26" s="343"/>
      <c r="W26" s="343"/>
      <c r="X26" s="343"/>
      <c r="Y26" s="343"/>
      <c r="Z26" s="343"/>
      <c r="AA26" s="334"/>
    </row>
    <row r="27" spans="1:27" ht="94.5" hidden="1">
      <c r="A27" s="334" t="s">
        <v>53</v>
      </c>
      <c r="B27" s="335" t="s">
        <v>54</v>
      </c>
      <c r="C27" s="334" t="s">
        <v>81</v>
      </c>
      <c r="D27" s="334" t="s">
        <v>120</v>
      </c>
      <c r="E27" s="348" t="s">
        <v>121</v>
      </c>
      <c r="F27" s="334" t="s">
        <v>2666</v>
      </c>
      <c r="G27" s="334" t="s">
        <v>62</v>
      </c>
      <c r="H27" s="334" t="s">
        <v>113</v>
      </c>
      <c r="I27" s="343">
        <v>1</v>
      </c>
      <c r="J27" s="343" t="s">
        <v>1090</v>
      </c>
      <c r="K27" s="343" t="s">
        <v>2701</v>
      </c>
      <c r="L27" s="344"/>
      <c r="M27" s="343"/>
      <c r="N27" s="343"/>
      <c r="O27" s="345"/>
      <c r="P27" s="334"/>
      <c r="Q27" s="346"/>
      <c r="R27" s="347"/>
      <c r="S27" s="343"/>
      <c r="T27" s="343"/>
      <c r="U27" s="343"/>
      <c r="V27" s="343"/>
      <c r="W27" s="343"/>
      <c r="X27" s="343"/>
      <c r="Y27" s="343"/>
      <c r="Z27" s="343"/>
      <c r="AA27" s="334"/>
    </row>
    <row r="28" spans="1:27" ht="63" hidden="1">
      <c r="A28" s="334" t="s">
        <v>53</v>
      </c>
      <c r="B28" s="335" t="s">
        <v>54</v>
      </c>
      <c r="C28" s="334" t="s">
        <v>81</v>
      </c>
      <c r="D28" s="334" t="s">
        <v>122</v>
      </c>
      <c r="E28" s="334" t="s">
        <v>123</v>
      </c>
      <c r="F28" s="334"/>
      <c r="G28" s="334" t="s">
        <v>71</v>
      </c>
      <c r="H28" s="334" t="s">
        <v>124</v>
      </c>
      <c r="I28" s="343">
        <v>1</v>
      </c>
      <c r="J28" s="334"/>
      <c r="K28" s="334"/>
      <c r="L28" s="344"/>
      <c r="M28" s="334"/>
      <c r="N28" s="334"/>
      <c r="O28" s="345"/>
      <c r="P28" s="334"/>
      <c r="Q28" s="340"/>
      <c r="R28" s="349"/>
      <c r="S28" s="334"/>
      <c r="T28" s="334"/>
      <c r="U28" s="334"/>
      <c r="V28" s="334"/>
      <c r="W28" s="334"/>
      <c r="X28" s="334"/>
      <c r="Y28" s="334"/>
      <c r="Z28" s="334"/>
      <c r="AA28" s="334"/>
    </row>
    <row r="29" spans="1:27" ht="63" hidden="1">
      <c r="A29" s="334" t="s">
        <v>53</v>
      </c>
      <c r="B29" s="335" t="s">
        <v>54</v>
      </c>
      <c r="C29" s="334" t="s">
        <v>81</v>
      </c>
      <c r="D29" s="334" t="s">
        <v>125</v>
      </c>
      <c r="E29" s="334" t="s">
        <v>126</v>
      </c>
      <c r="F29" s="334"/>
      <c r="G29" s="334" t="s">
        <v>71</v>
      </c>
      <c r="H29" s="334" t="s">
        <v>127</v>
      </c>
      <c r="I29" s="343">
        <v>1</v>
      </c>
      <c r="J29" s="334"/>
      <c r="K29" s="334"/>
      <c r="L29" s="344"/>
      <c r="M29" s="334"/>
      <c r="N29" s="334"/>
      <c r="O29" s="345"/>
      <c r="P29" s="334"/>
      <c r="Q29" s="340"/>
      <c r="R29" s="349"/>
      <c r="S29" s="334"/>
      <c r="T29" s="334"/>
      <c r="U29" s="334"/>
      <c r="V29" s="334"/>
      <c r="W29" s="334"/>
      <c r="X29" s="334"/>
      <c r="Y29" s="334"/>
      <c r="Z29" s="334"/>
      <c r="AA29" s="334"/>
    </row>
    <row r="30" spans="1:27" ht="94.5">
      <c r="A30" s="334" t="s">
        <v>53</v>
      </c>
      <c r="B30" s="335" t="s">
        <v>54</v>
      </c>
      <c r="C30" s="334" t="s">
        <v>128</v>
      </c>
      <c r="D30" s="334" t="s">
        <v>129</v>
      </c>
      <c r="E30" s="354" t="s">
        <v>130</v>
      </c>
      <c r="F30" s="336"/>
      <c r="G30" s="355" t="s">
        <v>131</v>
      </c>
      <c r="H30" s="355"/>
      <c r="I30" s="356"/>
      <c r="J30" s="356"/>
      <c r="K30" s="355"/>
      <c r="L30" s="357"/>
      <c r="M30" s="356"/>
      <c r="N30" s="356"/>
      <c r="O30" s="358"/>
      <c r="P30" s="355"/>
      <c r="Q30" s="359"/>
      <c r="R30" s="360"/>
      <c r="S30" s="356"/>
      <c r="T30" s="356"/>
      <c r="U30" s="356"/>
      <c r="V30" s="356"/>
      <c r="W30" s="356"/>
      <c r="X30" s="356"/>
      <c r="Y30" s="356"/>
      <c r="Z30" s="356"/>
      <c r="AA30" s="355"/>
    </row>
    <row r="31" spans="1:27" ht="204.75">
      <c r="A31" s="334" t="s">
        <v>53</v>
      </c>
      <c r="B31" s="335" t="s">
        <v>54</v>
      </c>
      <c r="C31" s="334" t="s">
        <v>128</v>
      </c>
      <c r="D31" s="334" t="s">
        <v>132</v>
      </c>
      <c r="E31" s="348" t="s">
        <v>133</v>
      </c>
      <c r="F31" s="334" t="s">
        <v>2666</v>
      </c>
      <c r="G31" s="334" t="s">
        <v>131</v>
      </c>
      <c r="H31" s="334" t="s">
        <v>134</v>
      </c>
      <c r="I31" s="334" t="s">
        <v>135</v>
      </c>
      <c r="J31" s="334" t="s">
        <v>1090</v>
      </c>
      <c r="K31" s="334" t="s">
        <v>2702</v>
      </c>
      <c r="L31" s="344"/>
      <c r="M31" s="334"/>
      <c r="N31" s="334"/>
      <c r="O31" s="345"/>
      <c r="P31" s="334" t="s">
        <v>2703</v>
      </c>
      <c r="Q31" s="340"/>
      <c r="R31" s="349"/>
      <c r="S31" s="334"/>
      <c r="T31" s="334"/>
      <c r="U31" s="334"/>
      <c r="V31" s="334"/>
      <c r="W31" s="334"/>
      <c r="X31" s="334"/>
      <c r="Y31" s="334"/>
      <c r="Z31" s="334"/>
      <c r="AA31" s="334"/>
    </row>
    <row r="32" spans="1:27" ht="63">
      <c r="A32" s="334" t="s">
        <v>53</v>
      </c>
      <c r="B32" s="335" t="s">
        <v>54</v>
      </c>
      <c r="C32" s="334" t="s">
        <v>128</v>
      </c>
      <c r="D32" s="334" t="s">
        <v>136</v>
      </c>
      <c r="E32" s="348" t="s">
        <v>137</v>
      </c>
      <c r="F32" s="334" t="s">
        <v>2666</v>
      </c>
      <c r="G32" s="334" t="s">
        <v>131</v>
      </c>
      <c r="H32" s="334" t="s">
        <v>138</v>
      </c>
      <c r="I32" s="334" t="s">
        <v>139</v>
      </c>
      <c r="J32" s="334" t="s">
        <v>1090</v>
      </c>
      <c r="K32" s="334" t="s">
        <v>2704</v>
      </c>
      <c r="L32" s="344" t="s">
        <v>1380</v>
      </c>
      <c r="M32" s="334"/>
      <c r="N32" s="334"/>
      <c r="O32" s="345"/>
      <c r="P32" s="334"/>
      <c r="Q32" s="340"/>
      <c r="R32" s="349"/>
      <c r="S32" s="334"/>
      <c r="T32" s="334"/>
      <c r="U32" s="334"/>
      <c r="V32" s="334"/>
      <c r="W32" s="334"/>
      <c r="X32" s="334"/>
      <c r="Y32" s="334"/>
      <c r="Z32" s="334"/>
      <c r="AA32" s="334"/>
    </row>
    <row r="33" spans="1:27" ht="47.25">
      <c r="A33" s="334" t="s">
        <v>53</v>
      </c>
      <c r="B33" s="335" t="s">
        <v>54</v>
      </c>
      <c r="C33" s="334" t="s">
        <v>128</v>
      </c>
      <c r="D33" s="334" t="s">
        <v>140</v>
      </c>
      <c r="E33" s="348" t="s">
        <v>141</v>
      </c>
      <c r="F33" s="334" t="s">
        <v>2666</v>
      </c>
      <c r="G33" s="334" t="s">
        <v>131</v>
      </c>
      <c r="H33" s="334" t="s">
        <v>142</v>
      </c>
      <c r="I33" s="334" t="s">
        <v>143</v>
      </c>
      <c r="J33" s="334" t="s">
        <v>8</v>
      </c>
      <c r="K33" s="334"/>
      <c r="L33" s="344"/>
      <c r="M33" s="334"/>
      <c r="N33" s="334"/>
      <c r="O33" s="345"/>
      <c r="P33" s="334" t="s">
        <v>2705</v>
      </c>
      <c r="Q33" s="340"/>
      <c r="R33" s="349"/>
      <c r="S33" s="334"/>
      <c r="T33" s="334"/>
      <c r="U33" s="334"/>
      <c r="V33" s="334"/>
      <c r="W33" s="334"/>
      <c r="X33" s="334"/>
      <c r="Y33" s="334"/>
      <c r="Z33" s="334"/>
      <c r="AA33" s="334"/>
    </row>
    <row r="34" spans="1:27" ht="31.5">
      <c r="A34" s="334" t="s">
        <v>53</v>
      </c>
      <c r="B34" s="335" t="s">
        <v>54</v>
      </c>
      <c r="C34" s="334" t="s">
        <v>128</v>
      </c>
      <c r="D34" s="334" t="s">
        <v>144</v>
      </c>
      <c r="E34" s="334" t="s">
        <v>145</v>
      </c>
      <c r="F34" s="336"/>
      <c r="G34" s="355" t="s">
        <v>131</v>
      </c>
      <c r="H34" s="355"/>
      <c r="I34" s="356"/>
      <c r="J34" s="356"/>
      <c r="K34" s="355"/>
      <c r="L34" s="357"/>
      <c r="M34" s="356"/>
      <c r="N34" s="356"/>
      <c r="O34" s="358"/>
      <c r="P34" s="355"/>
      <c r="Q34" s="359"/>
      <c r="R34" s="360"/>
      <c r="S34" s="356"/>
      <c r="T34" s="356"/>
      <c r="U34" s="356"/>
      <c r="V34" s="356"/>
      <c r="W34" s="356"/>
      <c r="X34" s="356"/>
      <c r="Y34" s="356"/>
      <c r="Z34" s="356"/>
      <c r="AA34" s="355"/>
    </row>
    <row r="35" spans="1:27" ht="47.25">
      <c r="A35" s="334" t="s">
        <v>53</v>
      </c>
      <c r="B35" s="335" t="s">
        <v>54</v>
      </c>
      <c r="C35" s="334" t="s">
        <v>128</v>
      </c>
      <c r="D35" s="334" t="s">
        <v>146</v>
      </c>
      <c r="E35" s="348" t="s">
        <v>147</v>
      </c>
      <c r="F35" s="334" t="s">
        <v>2666</v>
      </c>
      <c r="G35" s="334" t="s">
        <v>131</v>
      </c>
      <c r="H35" s="334" t="s">
        <v>148</v>
      </c>
      <c r="I35" s="334" t="s">
        <v>149</v>
      </c>
      <c r="J35" s="334" t="s">
        <v>8</v>
      </c>
      <c r="K35" s="334"/>
      <c r="L35" s="344"/>
      <c r="M35" s="334"/>
      <c r="N35" s="334"/>
      <c r="O35" s="345"/>
      <c r="P35" s="361" t="s">
        <v>2706</v>
      </c>
      <c r="Q35" s="340"/>
      <c r="R35" s="349"/>
      <c r="S35" s="334"/>
      <c r="T35" s="334"/>
      <c r="U35" s="334"/>
      <c r="V35" s="334"/>
      <c r="W35" s="334"/>
      <c r="X35" s="334"/>
      <c r="Y35" s="334"/>
      <c r="Z35" s="334"/>
      <c r="AA35" s="334"/>
    </row>
    <row r="36" spans="1:27" ht="47.25">
      <c r="A36" s="334" t="s">
        <v>53</v>
      </c>
      <c r="B36" s="335" t="s">
        <v>54</v>
      </c>
      <c r="C36" s="334" t="s">
        <v>128</v>
      </c>
      <c r="D36" s="334" t="s">
        <v>150</v>
      </c>
      <c r="E36" s="348" t="s">
        <v>151</v>
      </c>
      <c r="F36" s="334" t="s">
        <v>2666</v>
      </c>
      <c r="G36" s="334" t="s">
        <v>131</v>
      </c>
      <c r="H36" s="334" t="s">
        <v>152</v>
      </c>
      <c r="I36" s="334" t="s">
        <v>153</v>
      </c>
      <c r="J36" s="334" t="s">
        <v>8</v>
      </c>
      <c r="K36" s="334"/>
      <c r="L36" s="344"/>
      <c r="M36" s="334"/>
      <c r="N36" s="334"/>
      <c r="O36" s="345"/>
      <c r="P36" s="334" t="s">
        <v>2706</v>
      </c>
      <c r="Q36" s="340"/>
      <c r="R36" s="349"/>
      <c r="S36" s="334"/>
      <c r="T36" s="334"/>
      <c r="U36" s="334"/>
      <c r="V36" s="334"/>
      <c r="W36" s="334"/>
      <c r="X36" s="334"/>
      <c r="Y36" s="334"/>
      <c r="Z36" s="334"/>
      <c r="AA36" s="334"/>
    </row>
    <row r="37" spans="1:27" ht="47.25">
      <c r="A37" s="334" t="s">
        <v>53</v>
      </c>
      <c r="B37" s="335" t="s">
        <v>54</v>
      </c>
      <c r="C37" s="334" t="s">
        <v>128</v>
      </c>
      <c r="D37" s="334" t="s">
        <v>154</v>
      </c>
      <c r="E37" s="334" t="s">
        <v>155</v>
      </c>
      <c r="F37" s="336"/>
      <c r="G37" s="355" t="s">
        <v>131</v>
      </c>
      <c r="H37" s="355"/>
      <c r="I37" s="356"/>
      <c r="J37" s="356"/>
      <c r="K37" s="355"/>
      <c r="L37" s="357"/>
      <c r="M37" s="356"/>
      <c r="N37" s="356"/>
      <c r="O37" s="358"/>
      <c r="P37" s="355"/>
      <c r="Q37" s="359"/>
      <c r="R37" s="360"/>
      <c r="S37" s="356"/>
      <c r="T37" s="356"/>
      <c r="U37" s="356"/>
      <c r="V37" s="356"/>
      <c r="W37" s="356"/>
      <c r="X37" s="356"/>
      <c r="Y37" s="356"/>
      <c r="Z37" s="356"/>
      <c r="AA37" s="355"/>
    </row>
    <row r="38" spans="1:27" ht="63">
      <c r="A38" s="334" t="s">
        <v>53</v>
      </c>
      <c r="B38" s="335" t="s">
        <v>54</v>
      </c>
      <c r="C38" s="334" t="s">
        <v>128</v>
      </c>
      <c r="D38" s="334" t="s">
        <v>156</v>
      </c>
      <c r="E38" s="348" t="s">
        <v>157</v>
      </c>
      <c r="F38" s="334" t="s">
        <v>2666</v>
      </c>
      <c r="G38" s="334" t="s">
        <v>131</v>
      </c>
      <c r="H38" s="334" t="s">
        <v>158</v>
      </c>
      <c r="I38" s="334" t="s">
        <v>110</v>
      </c>
      <c r="J38" s="334" t="s">
        <v>1191</v>
      </c>
      <c r="K38" s="334" t="s">
        <v>2707</v>
      </c>
      <c r="L38" s="344" t="s">
        <v>2387</v>
      </c>
      <c r="M38" s="334"/>
      <c r="N38" s="334" t="s">
        <v>10</v>
      </c>
      <c r="O38" s="345"/>
      <c r="P38" s="334"/>
      <c r="Q38" s="340"/>
      <c r="R38" s="349"/>
      <c r="S38" s="334"/>
      <c r="T38" s="334"/>
      <c r="U38" s="334"/>
      <c r="V38" s="334"/>
      <c r="W38" s="334"/>
      <c r="X38" s="334"/>
      <c r="Y38" s="334"/>
      <c r="Z38" s="334"/>
      <c r="AA38" s="334"/>
    </row>
    <row r="39" spans="1:27" ht="63">
      <c r="A39" s="334" t="s">
        <v>53</v>
      </c>
      <c r="B39" s="335" t="s">
        <v>54</v>
      </c>
      <c r="C39" s="334" t="s">
        <v>128</v>
      </c>
      <c r="D39" s="334" t="s">
        <v>159</v>
      </c>
      <c r="E39" s="348" t="s">
        <v>160</v>
      </c>
      <c r="F39" s="334" t="s">
        <v>2666</v>
      </c>
      <c r="G39" s="334" t="s">
        <v>131</v>
      </c>
      <c r="H39" s="334" t="s">
        <v>161</v>
      </c>
      <c r="I39" s="334" t="s">
        <v>162</v>
      </c>
      <c r="J39" s="334" t="s">
        <v>8</v>
      </c>
      <c r="K39" s="334"/>
      <c r="L39" s="344"/>
      <c r="M39" s="334"/>
      <c r="N39" s="334"/>
      <c r="O39" s="345"/>
      <c r="P39" s="334" t="s">
        <v>2706</v>
      </c>
      <c r="Q39" s="340"/>
      <c r="R39" s="349"/>
      <c r="S39" s="334"/>
      <c r="T39" s="334"/>
      <c r="U39" s="334"/>
      <c r="V39" s="334"/>
      <c r="W39" s="334"/>
      <c r="X39" s="334"/>
      <c r="Y39" s="334"/>
      <c r="Z39" s="334"/>
      <c r="AA39" s="334"/>
    </row>
    <row r="40" spans="1:27" ht="78.75">
      <c r="A40" s="334" t="s">
        <v>53</v>
      </c>
      <c r="B40" s="335" t="s">
        <v>54</v>
      </c>
      <c r="C40" s="334" t="s">
        <v>128</v>
      </c>
      <c r="D40" s="334" t="s">
        <v>163</v>
      </c>
      <c r="E40" s="348" t="s">
        <v>164</v>
      </c>
      <c r="F40" s="334"/>
      <c r="G40" s="334" t="s">
        <v>131</v>
      </c>
      <c r="H40" s="334" t="s">
        <v>165</v>
      </c>
      <c r="I40" s="334" t="s">
        <v>166</v>
      </c>
      <c r="J40" s="334" t="s">
        <v>8</v>
      </c>
      <c r="K40" s="334"/>
      <c r="L40" s="344"/>
      <c r="M40" s="334"/>
      <c r="N40" s="334"/>
      <c r="O40" s="345"/>
      <c r="P40" s="334" t="s">
        <v>2706</v>
      </c>
      <c r="Q40" s="340"/>
      <c r="R40" s="349"/>
      <c r="S40" s="334"/>
      <c r="T40" s="334"/>
      <c r="U40" s="334"/>
      <c r="V40" s="334"/>
      <c r="W40" s="334"/>
      <c r="X40" s="334"/>
      <c r="Y40" s="334"/>
      <c r="Z40" s="334"/>
      <c r="AA40" s="334"/>
    </row>
    <row r="41" spans="1:27" ht="94.5" hidden="1">
      <c r="A41" s="334" t="s">
        <v>53</v>
      </c>
      <c r="B41" s="335" t="s">
        <v>54</v>
      </c>
      <c r="C41" s="334" t="s">
        <v>128</v>
      </c>
      <c r="D41" s="334" t="s">
        <v>167</v>
      </c>
      <c r="E41" s="334" t="s">
        <v>168</v>
      </c>
      <c r="F41" s="334"/>
      <c r="G41" s="334" t="s">
        <v>71</v>
      </c>
      <c r="H41" s="334" t="s">
        <v>169</v>
      </c>
      <c r="I41" s="334" t="s">
        <v>110</v>
      </c>
      <c r="J41" s="334"/>
      <c r="K41" s="352"/>
      <c r="L41" s="362"/>
      <c r="M41" s="352"/>
      <c r="N41" s="352"/>
      <c r="O41" s="363"/>
      <c r="P41" s="334"/>
      <c r="Q41" s="340"/>
      <c r="R41" s="364"/>
      <c r="S41" s="352"/>
      <c r="T41" s="352"/>
      <c r="U41" s="352"/>
      <c r="V41" s="352"/>
      <c r="W41" s="352"/>
      <c r="X41" s="352"/>
      <c r="Y41" s="352"/>
      <c r="Z41" s="352"/>
      <c r="AA41" s="334"/>
    </row>
    <row r="42" spans="1:27" ht="94.5">
      <c r="A42" s="334" t="s">
        <v>53</v>
      </c>
      <c r="B42" s="335" t="s">
        <v>54</v>
      </c>
      <c r="C42" s="334" t="s">
        <v>128</v>
      </c>
      <c r="D42" s="334" t="s">
        <v>170</v>
      </c>
      <c r="E42" s="334" t="s">
        <v>171</v>
      </c>
      <c r="F42" s="334" t="s">
        <v>2666</v>
      </c>
      <c r="G42" s="334" t="s">
        <v>62</v>
      </c>
      <c r="H42" s="334"/>
      <c r="I42" s="334"/>
      <c r="J42" s="334" t="s">
        <v>8</v>
      </c>
      <c r="K42" s="352"/>
      <c r="L42" s="362"/>
      <c r="M42" s="352"/>
      <c r="N42" s="352"/>
      <c r="O42" s="363"/>
      <c r="P42" s="334" t="s">
        <v>2706</v>
      </c>
      <c r="Q42" s="340"/>
      <c r="R42" s="364"/>
      <c r="S42" s="352"/>
      <c r="T42" s="352"/>
      <c r="U42" s="352"/>
      <c r="V42" s="352"/>
      <c r="W42" s="352"/>
      <c r="X42" s="352"/>
      <c r="Y42" s="352"/>
      <c r="Z42" s="352"/>
      <c r="AA42" s="334"/>
    </row>
    <row r="43" spans="1:27" ht="63">
      <c r="A43" s="334" t="s">
        <v>53</v>
      </c>
      <c r="B43" s="335" t="s">
        <v>54</v>
      </c>
      <c r="C43" s="334" t="s">
        <v>128</v>
      </c>
      <c r="D43" s="334" t="s">
        <v>172</v>
      </c>
      <c r="E43" s="348" t="s">
        <v>173</v>
      </c>
      <c r="F43" s="334" t="s">
        <v>2666</v>
      </c>
      <c r="G43" s="334" t="s">
        <v>62</v>
      </c>
      <c r="H43" s="334" t="s">
        <v>174</v>
      </c>
      <c r="I43" s="334" t="s">
        <v>175</v>
      </c>
      <c r="J43" s="334" t="s">
        <v>8</v>
      </c>
      <c r="K43" s="352"/>
      <c r="L43" s="362"/>
      <c r="M43" s="352"/>
      <c r="N43" s="352"/>
      <c r="O43" s="363"/>
      <c r="P43" s="334" t="s">
        <v>2708</v>
      </c>
      <c r="Q43" s="340"/>
      <c r="R43" s="364"/>
      <c r="S43" s="352"/>
      <c r="T43" s="352"/>
      <c r="U43" s="352"/>
      <c r="V43" s="352"/>
      <c r="W43" s="352"/>
      <c r="X43" s="352"/>
      <c r="Y43" s="352"/>
      <c r="Z43" s="352"/>
      <c r="AA43" s="334"/>
    </row>
    <row r="44" spans="1:27" ht="63">
      <c r="A44" s="334" t="s">
        <v>53</v>
      </c>
      <c r="B44" s="335" t="s">
        <v>54</v>
      </c>
      <c r="C44" s="334" t="s">
        <v>128</v>
      </c>
      <c r="D44" s="334" t="s">
        <v>176</v>
      </c>
      <c r="E44" s="348" t="s">
        <v>177</v>
      </c>
      <c r="F44" s="334" t="s">
        <v>2658</v>
      </c>
      <c r="G44" s="334" t="s">
        <v>62</v>
      </c>
      <c r="H44" s="334" t="s">
        <v>178</v>
      </c>
      <c r="I44" s="334" t="s">
        <v>179</v>
      </c>
      <c r="J44" s="334" t="s">
        <v>1191</v>
      </c>
      <c r="K44" s="352" t="s">
        <v>2709</v>
      </c>
      <c r="L44" s="362"/>
      <c r="M44" s="352"/>
      <c r="N44" s="352"/>
      <c r="O44" s="363"/>
      <c r="P44" s="334"/>
      <c r="Q44" s="340"/>
      <c r="R44" s="364"/>
      <c r="S44" s="352"/>
      <c r="T44" s="352"/>
      <c r="U44" s="352"/>
      <c r="V44" s="352"/>
      <c r="W44" s="352"/>
      <c r="X44" s="352"/>
      <c r="Y44" s="352"/>
      <c r="Z44" s="352"/>
      <c r="AA44" s="334"/>
    </row>
    <row r="45" spans="1:27" ht="47.25" hidden="1">
      <c r="A45" s="334" t="s">
        <v>53</v>
      </c>
      <c r="B45" s="335" t="s">
        <v>54</v>
      </c>
      <c r="C45" s="334" t="s">
        <v>128</v>
      </c>
      <c r="D45" s="334" t="s">
        <v>180</v>
      </c>
      <c r="E45" s="334" t="s">
        <v>181</v>
      </c>
      <c r="F45" s="334"/>
      <c r="G45" s="334" t="s">
        <v>71</v>
      </c>
      <c r="H45" s="334" t="s">
        <v>182</v>
      </c>
      <c r="I45" s="343">
        <v>1</v>
      </c>
      <c r="J45" s="343"/>
      <c r="K45" s="365"/>
      <c r="L45" s="362"/>
      <c r="M45" s="365"/>
      <c r="N45" s="365"/>
      <c r="O45" s="363"/>
      <c r="P45" s="334"/>
      <c r="Q45" s="346"/>
      <c r="R45" s="366"/>
      <c r="S45" s="365"/>
      <c r="T45" s="365"/>
      <c r="U45" s="365"/>
      <c r="V45" s="365"/>
      <c r="W45" s="365"/>
      <c r="X45" s="365"/>
      <c r="Y45" s="365"/>
      <c r="Z45" s="365"/>
      <c r="AA45" s="334"/>
    </row>
    <row r="46" spans="1:27" ht="47.25" hidden="1">
      <c r="A46" s="334" t="s">
        <v>53</v>
      </c>
      <c r="B46" s="335" t="s">
        <v>54</v>
      </c>
      <c r="C46" s="334" t="s">
        <v>128</v>
      </c>
      <c r="D46" s="334" t="s">
        <v>183</v>
      </c>
      <c r="E46" s="334" t="s">
        <v>184</v>
      </c>
      <c r="F46" s="334"/>
      <c r="G46" s="334" t="s">
        <v>71</v>
      </c>
      <c r="H46" s="334" t="s">
        <v>182</v>
      </c>
      <c r="I46" s="343">
        <v>1</v>
      </c>
      <c r="J46" s="343"/>
      <c r="K46" s="365"/>
      <c r="L46" s="362"/>
      <c r="M46" s="365"/>
      <c r="N46" s="365"/>
      <c r="O46" s="363"/>
      <c r="P46" s="334"/>
      <c r="Q46" s="346"/>
      <c r="R46" s="366"/>
      <c r="S46" s="365"/>
      <c r="T46" s="365"/>
      <c r="U46" s="365"/>
      <c r="V46" s="365"/>
      <c r="W46" s="365"/>
      <c r="X46" s="365"/>
      <c r="Y46" s="365"/>
      <c r="Z46" s="365"/>
      <c r="AA46" s="334"/>
    </row>
    <row r="47" spans="1:27" ht="315">
      <c r="A47" s="334" t="s">
        <v>53</v>
      </c>
      <c r="B47" s="335" t="s">
        <v>54</v>
      </c>
      <c r="C47" s="334" t="s">
        <v>128</v>
      </c>
      <c r="D47" s="334" t="s">
        <v>185</v>
      </c>
      <c r="E47" s="334" t="s">
        <v>186</v>
      </c>
      <c r="F47" s="334" t="s">
        <v>2658</v>
      </c>
      <c r="G47" s="334" t="s">
        <v>62</v>
      </c>
      <c r="H47" s="334" t="s">
        <v>187</v>
      </c>
      <c r="I47" s="334" t="s">
        <v>188</v>
      </c>
      <c r="J47" s="334" t="s">
        <v>1191</v>
      </c>
      <c r="K47" s="352" t="s">
        <v>2710</v>
      </c>
      <c r="L47" s="362"/>
      <c r="M47" s="352"/>
      <c r="N47" s="352"/>
      <c r="O47" s="363"/>
      <c r="P47" s="334" t="s">
        <v>2711</v>
      </c>
      <c r="Q47" s="340"/>
      <c r="R47" s="364"/>
      <c r="S47" s="352"/>
      <c r="T47" s="352"/>
      <c r="U47" s="352"/>
      <c r="V47" s="352"/>
      <c r="W47" s="352"/>
      <c r="X47" s="352"/>
      <c r="Y47" s="352"/>
      <c r="Z47" s="352"/>
      <c r="AA47" s="334"/>
    </row>
    <row r="48" spans="1:27" ht="94.5">
      <c r="A48" s="334" t="s">
        <v>53</v>
      </c>
      <c r="B48" s="335" t="s">
        <v>54</v>
      </c>
      <c r="C48" s="334" t="s">
        <v>128</v>
      </c>
      <c r="D48" s="334" t="s">
        <v>189</v>
      </c>
      <c r="E48" s="334" t="s">
        <v>190</v>
      </c>
      <c r="F48" s="334" t="s">
        <v>2658</v>
      </c>
      <c r="G48" s="334" t="s">
        <v>62</v>
      </c>
      <c r="H48" s="334" t="s">
        <v>191</v>
      </c>
      <c r="I48" s="334" t="s">
        <v>192</v>
      </c>
      <c r="J48" s="334" t="s">
        <v>1191</v>
      </c>
      <c r="K48" s="352" t="s">
        <v>2712</v>
      </c>
      <c r="L48" s="362"/>
      <c r="M48" s="352"/>
      <c r="N48" s="352"/>
      <c r="O48" s="363"/>
      <c r="P48" s="334"/>
      <c r="Q48" s="340"/>
      <c r="R48" s="364"/>
      <c r="S48" s="352"/>
      <c r="T48" s="352"/>
      <c r="U48" s="352"/>
      <c r="V48" s="352"/>
      <c r="W48" s="352"/>
      <c r="X48" s="352"/>
      <c r="Y48" s="352"/>
      <c r="Z48" s="352"/>
      <c r="AA48" s="334"/>
    </row>
    <row r="49" spans="1:27" ht="94.5">
      <c r="A49" s="334" t="s">
        <v>53</v>
      </c>
      <c r="B49" s="335" t="s">
        <v>54</v>
      </c>
      <c r="C49" s="334" t="s">
        <v>128</v>
      </c>
      <c r="D49" s="334" t="s">
        <v>193</v>
      </c>
      <c r="E49" s="334" t="s">
        <v>190</v>
      </c>
      <c r="F49" s="334" t="s">
        <v>2658</v>
      </c>
      <c r="G49" s="334" t="s">
        <v>62</v>
      </c>
      <c r="H49" s="334" t="s">
        <v>194</v>
      </c>
      <c r="I49" s="334" t="s">
        <v>135</v>
      </c>
      <c r="J49" s="334" t="s">
        <v>1191</v>
      </c>
      <c r="K49" s="352" t="s">
        <v>2712</v>
      </c>
      <c r="L49" s="362"/>
      <c r="M49" s="352"/>
      <c r="N49" s="352"/>
      <c r="O49" s="363"/>
      <c r="P49" s="334"/>
      <c r="Q49" s="340"/>
      <c r="R49" s="364"/>
      <c r="S49" s="352"/>
      <c r="T49" s="352"/>
      <c r="U49" s="352"/>
      <c r="V49" s="352"/>
      <c r="W49" s="352"/>
      <c r="X49" s="352"/>
      <c r="Y49" s="352"/>
      <c r="Z49" s="352"/>
      <c r="AA49" s="334"/>
    </row>
    <row r="50" spans="1:27" ht="110.25" hidden="1">
      <c r="A50" s="334" t="s">
        <v>53</v>
      </c>
      <c r="B50" s="335" t="s">
        <v>195</v>
      </c>
      <c r="C50" s="334" t="s">
        <v>196</v>
      </c>
      <c r="D50" s="334" t="s">
        <v>197</v>
      </c>
      <c r="E50" s="334" t="s">
        <v>198</v>
      </c>
      <c r="F50" s="336"/>
      <c r="G50" s="355" t="s">
        <v>62</v>
      </c>
      <c r="H50" s="355"/>
      <c r="I50" s="356"/>
      <c r="J50" s="356"/>
      <c r="K50" s="355"/>
      <c r="L50" s="357"/>
      <c r="M50" s="356"/>
      <c r="N50" s="356"/>
      <c r="O50" s="358"/>
      <c r="P50" s="355"/>
      <c r="Q50" s="359"/>
      <c r="R50" s="360"/>
      <c r="S50" s="356"/>
      <c r="T50" s="356"/>
      <c r="U50" s="356"/>
      <c r="V50" s="356"/>
      <c r="W50" s="356"/>
      <c r="X50" s="356"/>
      <c r="Y50" s="356"/>
      <c r="Z50" s="356"/>
      <c r="AA50" s="355"/>
    </row>
    <row r="51" spans="1:27" ht="94.5" hidden="1">
      <c r="A51" s="334" t="s">
        <v>53</v>
      </c>
      <c r="B51" s="335" t="s">
        <v>195</v>
      </c>
      <c r="C51" s="334" t="s">
        <v>196</v>
      </c>
      <c r="D51" s="334" t="s">
        <v>199</v>
      </c>
      <c r="E51" s="348" t="s">
        <v>200</v>
      </c>
      <c r="F51" s="334" t="s">
        <v>2658</v>
      </c>
      <c r="G51" s="334" t="s">
        <v>62</v>
      </c>
      <c r="H51" s="334" t="s">
        <v>201</v>
      </c>
      <c r="I51" s="343">
        <v>1</v>
      </c>
      <c r="J51" s="343" t="s">
        <v>1191</v>
      </c>
      <c r="K51" s="343" t="s">
        <v>2713</v>
      </c>
      <c r="L51" s="344" t="s">
        <v>2329</v>
      </c>
      <c r="M51" s="343"/>
      <c r="N51" s="343" t="s">
        <v>2714</v>
      </c>
      <c r="O51" s="345"/>
      <c r="P51" s="334"/>
      <c r="Q51" s="346"/>
      <c r="R51" s="347"/>
      <c r="S51" s="343"/>
      <c r="T51" s="343"/>
      <c r="U51" s="343"/>
      <c r="V51" s="343"/>
      <c r="W51" s="343"/>
      <c r="X51" s="343"/>
      <c r="Y51" s="343"/>
      <c r="Z51" s="343"/>
      <c r="AA51" s="334"/>
    </row>
    <row r="52" spans="1:27" ht="34.5" hidden="1" customHeight="1">
      <c r="A52" s="334" t="s">
        <v>53</v>
      </c>
      <c r="B52" s="335" t="s">
        <v>195</v>
      </c>
      <c r="C52" s="334" t="s">
        <v>196</v>
      </c>
      <c r="D52" s="334" t="s">
        <v>202</v>
      </c>
      <c r="E52" s="348" t="s">
        <v>203</v>
      </c>
      <c r="F52" s="334" t="s">
        <v>2666</v>
      </c>
      <c r="G52" s="334" t="s">
        <v>62</v>
      </c>
      <c r="H52" s="334" t="s">
        <v>204</v>
      </c>
      <c r="I52" s="343">
        <v>1</v>
      </c>
      <c r="J52" s="334" t="s">
        <v>1191</v>
      </c>
      <c r="K52" s="334" t="s">
        <v>2715</v>
      </c>
      <c r="L52" s="344" t="s">
        <v>1380</v>
      </c>
      <c r="M52" s="334"/>
      <c r="N52" s="334" t="s">
        <v>10</v>
      </c>
      <c r="O52" s="345"/>
      <c r="P52" s="334"/>
      <c r="Q52" s="340"/>
      <c r="R52" s="349"/>
      <c r="S52" s="334"/>
      <c r="T52" s="334"/>
      <c r="U52" s="334"/>
      <c r="V52" s="334"/>
      <c r="W52" s="334"/>
      <c r="X52" s="334"/>
      <c r="Y52" s="334"/>
      <c r="Z52" s="334"/>
      <c r="AA52" s="334"/>
    </row>
    <row r="53" spans="1:27" ht="47.25" hidden="1">
      <c r="A53" s="334" t="s">
        <v>53</v>
      </c>
      <c r="B53" s="335" t="s">
        <v>195</v>
      </c>
      <c r="C53" s="334" t="s">
        <v>196</v>
      </c>
      <c r="D53" s="334" t="s">
        <v>205</v>
      </c>
      <c r="E53" s="334" t="s">
        <v>206</v>
      </c>
      <c r="F53" s="336"/>
      <c r="G53" s="355" t="s">
        <v>62</v>
      </c>
      <c r="H53" s="355"/>
      <c r="I53" s="356"/>
      <c r="J53" s="356"/>
      <c r="K53" s="355"/>
      <c r="L53" s="357"/>
      <c r="M53" s="356"/>
      <c r="N53" s="356"/>
      <c r="O53" s="358"/>
      <c r="P53" s="355"/>
      <c r="Q53" s="359"/>
      <c r="R53" s="360"/>
      <c r="S53" s="356"/>
      <c r="T53" s="356"/>
      <c r="U53" s="356"/>
      <c r="V53" s="356"/>
      <c r="W53" s="356"/>
      <c r="X53" s="356"/>
      <c r="Y53" s="356"/>
      <c r="Z53" s="356"/>
      <c r="AA53" s="355"/>
    </row>
    <row r="54" spans="1:27" ht="47.25" hidden="1">
      <c r="A54" s="334" t="s">
        <v>53</v>
      </c>
      <c r="B54" s="335" t="s">
        <v>195</v>
      </c>
      <c r="C54" s="334" t="s">
        <v>196</v>
      </c>
      <c r="D54" s="334" t="s">
        <v>207</v>
      </c>
      <c r="E54" s="348" t="s">
        <v>208</v>
      </c>
      <c r="F54" s="334" t="s">
        <v>2666</v>
      </c>
      <c r="G54" s="334" t="s">
        <v>62</v>
      </c>
      <c r="H54" s="334" t="s">
        <v>209</v>
      </c>
      <c r="I54" s="334" t="s">
        <v>210</v>
      </c>
      <c r="J54" s="334" t="s">
        <v>8</v>
      </c>
      <c r="K54" s="334"/>
      <c r="L54" s="344"/>
      <c r="M54" s="334"/>
      <c r="N54" s="334"/>
      <c r="O54" s="345"/>
      <c r="P54" s="334" t="s">
        <v>2716</v>
      </c>
      <c r="Q54" s="340"/>
      <c r="R54" s="349"/>
      <c r="S54" s="334"/>
      <c r="T54" s="334"/>
      <c r="U54" s="334"/>
      <c r="V54" s="334"/>
      <c r="W54" s="334"/>
      <c r="X54" s="334"/>
      <c r="Y54" s="334"/>
      <c r="Z54" s="334"/>
      <c r="AA54" s="334"/>
    </row>
    <row r="55" spans="1:27" ht="94.5" hidden="1">
      <c r="A55" s="334" t="s">
        <v>53</v>
      </c>
      <c r="B55" s="335" t="s">
        <v>195</v>
      </c>
      <c r="C55" s="334" t="s">
        <v>196</v>
      </c>
      <c r="D55" s="334" t="s">
        <v>211</v>
      </c>
      <c r="E55" s="348" t="s">
        <v>212</v>
      </c>
      <c r="F55" s="334" t="s">
        <v>2666</v>
      </c>
      <c r="G55" s="334" t="s">
        <v>62</v>
      </c>
      <c r="H55" s="334" t="s">
        <v>213</v>
      </c>
      <c r="I55" s="334" t="s">
        <v>214</v>
      </c>
      <c r="J55" s="334" t="s">
        <v>8</v>
      </c>
      <c r="K55" s="334"/>
      <c r="L55" s="344"/>
      <c r="M55" s="334"/>
      <c r="N55" s="334"/>
      <c r="O55" s="345"/>
      <c r="P55" s="334" t="s">
        <v>2705</v>
      </c>
      <c r="Q55" s="340"/>
      <c r="R55" s="349"/>
      <c r="S55" s="334"/>
      <c r="T55" s="334"/>
      <c r="U55" s="334"/>
      <c r="V55" s="334"/>
      <c r="W55" s="334"/>
      <c r="X55" s="334"/>
      <c r="Y55" s="334"/>
      <c r="Z55" s="334"/>
      <c r="AA55" s="334"/>
    </row>
    <row r="56" spans="1:27" ht="47.25" hidden="1">
      <c r="A56" s="334" t="s">
        <v>53</v>
      </c>
      <c r="B56" s="335" t="s">
        <v>195</v>
      </c>
      <c r="C56" s="334" t="s">
        <v>196</v>
      </c>
      <c r="D56" s="334" t="s">
        <v>215</v>
      </c>
      <c r="E56" s="334" t="s">
        <v>216</v>
      </c>
      <c r="F56" s="334" t="s">
        <v>2666</v>
      </c>
      <c r="G56" s="334" t="s">
        <v>62</v>
      </c>
      <c r="H56" s="334" t="s">
        <v>217</v>
      </c>
      <c r="I56" s="334" t="s">
        <v>214</v>
      </c>
      <c r="J56" s="334" t="s">
        <v>8</v>
      </c>
      <c r="K56" s="334"/>
      <c r="L56" s="344"/>
      <c r="M56" s="334"/>
      <c r="N56" s="334"/>
      <c r="O56" s="345"/>
      <c r="P56" s="334" t="s">
        <v>2705</v>
      </c>
      <c r="Q56" s="340"/>
      <c r="R56" s="349"/>
      <c r="S56" s="334"/>
      <c r="T56" s="334"/>
      <c r="U56" s="334"/>
      <c r="V56" s="334"/>
      <c r="W56" s="334"/>
      <c r="X56" s="334"/>
      <c r="Y56" s="334"/>
      <c r="Z56" s="334"/>
      <c r="AA56" s="334"/>
    </row>
    <row r="57" spans="1:27" ht="47.25" hidden="1">
      <c r="A57" s="334" t="s">
        <v>53</v>
      </c>
      <c r="B57" s="335" t="s">
        <v>195</v>
      </c>
      <c r="C57" s="334" t="s">
        <v>196</v>
      </c>
      <c r="D57" s="334" t="s">
        <v>218</v>
      </c>
      <c r="E57" s="334" t="s">
        <v>219</v>
      </c>
      <c r="F57" s="334"/>
      <c r="G57" s="334" t="s">
        <v>62</v>
      </c>
      <c r="H57" s="334" t="s">
        <v>220</v>
      </c>
      <c r="I57" s="334" t="s">
        <v>221</v>
      </c>
      <c r="J57" s="334" t="s">
        <v>8</v>
      </c>
      <c r="K57" s="334"/>
      <c r="L57" s="344"/>
      <c r="M57" s="334"/>
      <c r="N57" s="334"/>
      <c r="O57" s="345"/>
      <c r="P57" s="334" t="s">
        <v>2717</v>
      </c>
      <c r="Q57" s="340"/>
      <c r="R57" s="349"/>
      <c r="S57" s="334"/>
      <c r="T57" s="334"/>
      <c r="U57" s="334"/>
      <c r="V57" s="334"/>
      <c r="W57" s="334"/>
      <c r="X57" s="334"/>
      <c r="Y57" s="334"/>
      <c r="Z57" s="334"/>
      <c r="AA57" s="334"/>
    </row>
    <row r="58" spans="1:27" ht="63" hidden="1">
      <c r="A58" s="334" t="s">
        <v>53</v>
      </c>
      <c r="B58" s="335" t="s">
        <v>195</v>
      </c>
      <c r="C58" s="334" t="s">
        <v>222</v>
      </c>
      <c r="D58" s="334" t="s">
        <v>223</v>
      </c>
      <c r="E58" s="334" t="s">
        <v>224</v>
      </c>
      <c r="F58" s="336"/>
      <c r="G58" s="355" t="s">
        <v>62</v>
      </c>
      <c r="H58" s="355" t="s">
        <v>225</v>
      </c>
      <c r="I58" s="356" t="s">
        <v>226</v>
      </c>
      <c r="J58" s="356"/>
      <c r="K58" s="355"/>
      <c r="L58" s="357"/>
      <c r="M58" s="356"/>
      <c r="N58" s="356"/>
      <c r="O58" s="358"/>
      <c r="P58" s="355"/>
      <c r="Q58" s="359"/>
      <c r="R58" s="360"/>
      <c r="S58" s="356"/>
      <c r="T58" s="356"/>
      <c r="U58" s="356"/>
      <c r="V58" s="356"/>
      <c r="W58" s="356"/>
      <c r="X58" s="356"/>
      <c r="Y58" s="356"/>
      <c r="Z58" s="356"/>
      <c r="AA58" s="355"/>
    </row>
    <row r="59" spans="1:27" ht="126" hidden="1">
      <c r="A59" s="334" t="s">
        <v>53</v>
      </c>
      <c r="B59" s="335" t="s">
        <v>195</v>
      </c>
      <c r="C59" s="334" t="s">
        <v>222</v>
      </c>
      <c r="D59" s="334" t="s">
        <v>227</v>
      </c>
      <c r="E59" s="348" t="s">
        <v>228</v>
      </c>
      <c r="F59" s="334" t="s">
        <v>2676</v>
      </c>
      <c r="G59" s="334" t="s">
        <v>62</v>
      </c>
      <c r="H59" s="334" t="s">
        <v>229</v>
      </c>
      <c r="I59" s="334" t="s">
        <v>226</v>
      </c>
      <c r="J59" s="334" t="s">
        <v>1090</v>
      </c>
      <c r="K59" s="334" t="s">
        <v>2718</v>
      </c>
      <c r="L59" s="344" t="s">
        <v>2719</v>
      </c>
      <c r="M59" s="334"/>
      <c r="N59" s="334" t="s">
        <v>10</v>
      </c>
      <c r="O59" s="345"/>
      <c r="P59" s="334"/>
      <c r="Q59" s="340"/>
      <c r="R59" s="349"/>
      <c r="S59" s="334"/>
      <c r="T59" s="334"/>
      <c r="U59" s="334"/>
      <c r="V59" s="334"/>
      <c r="W59" s="334"/>
      <c r="X59" s="334"/>
      <c r="Y59" s="334"/>
      <c r="Z59" s="334"/>
      <c r="AA59" s="334"/>
    </row>
    <row r="60" spans="1:27" ht="79.5" hidden="1" customHeight="1">
      <c r="A60" s="334" t="s">
        <v>53</v>
      </c>
      <c r="B60" s="335" t="s">
        <v>195</v>
      </c>
      <c r="C60" s="334" t="s">
        <v>222</v>
      </c>
      <c r="D60" s="334" t="s">
        <v>230</v>
      </c>
      <c r="E60" s="348" t="s">
        <v>231</v>
      </c>
      <c r="F60" s="334" t="s">
        <v>2658</v>
      </c>
      <c r="G60" s="334" t="s">
        <v>62</v>
      </c>
      <c r="H60" s="334" t="s">
        <v>232</v>
      </c>
      <c r="I60" s="334" t="s">
        <v>226</v>
      </c>
      <c r="J60" s="334" t="s">
        <v>1090</v>
      </c>
      <c r="K60" s="334" t="s">
        <v>2720</v>
      </c>
      <c r="L60" s="344" t="s">
        <v>2719</v>
      </c>
      <c r="M60" s="334"/>
      <c r="N60" s="334" t="s">
        <v>10</v>
      </c>
      <c r="O60" s="345"/>
      <c r="P60" s="334" t="s">
        <v>2721</v>
      </c>
      <c r="Q60" s="340"/>
      <c r="R60" s="349"/>
      <c r="S60" s="334"/>
      <c r="T60" s="334"/>
      <c r="U60" s="334"/>
      <c r="V60" s="334"/>
      <c r="W60" s="334"/>
      <c r="X60" s="334"/>
      <c r="Y60" s="334"/>
      <c r="Z60" s="334"/>
      <c r="AA60" s="334"/>
    </row>
    <row r="61" spans="1:27" ht="63" hidden="1">
      <c r="A61" s="334" t="s">
        <v>53</v>
      </c>
      <c r="B61" s="335" t="s">
        <v>195</v>
      </c>
      <c r="C61" s="334" t="s">
        <v>222</v>
      </c>
      <c r="D61" s="334" t="s">
        <v>233</v>
      </c>
      <c r="E61" s="348" t="s">
        <v>234</v>
      </c>
      <c r="F61" s="334" t="s">
        <v>2658</v>
      </c>
      <c r="G61" s="334" t="s">
        <v>62</v>
      </c>
      <c r="H61" s="334" t="s">
        <v>235</v>
      </c>
      <c r="I61" s="334" t="s">
        <v>226</v>
      </c>
      <c r="J61" s="334" t="s">
        <v>1090</v>
      </c>
      <c r="K61" s="334" t="s">
        <v>2722</v>
      </c>
      <c r="L61" s="344" t="s">
        <v>2723</v>
      </c>
      <c r="M61" s="334"/>
      <c r="N61" s="334" t="s">
        <v>10</v>
      </c>
      <c r="O61" s="345"/>
      <c r="P61" s="334"/>
      <c r="Q61" s="340"/>
      <c r="R61" s="349"/>
      <c r="S61" s="334"/>
      <c r="T61" s="334"/>
      <c r="U61" s="334"/>
      <c r="V61" s="334"/>
      <c r="W61" s="334"/>
      <c r="X61" s="334"/>
      <c r="Y61" s="334"/>
      <c r="Z61" s="334"/>
      <c r="AA61" s="334"/>
    </row>
    <row r="62" spans="1:27" ht="157.5" hidden="1">
      <c r="A62" s="334" t="s">
        <v>53</v>
      </c>
      <c r="B62" s="335" t="s">
        <v>195</v>
      </c>
      <c r="C62" s="334" t="s">
        <v>222</v>
      </c>
      <c r="D62" s="334" t="s">
        <v>236</v>
      </c>
      <c r="E62" s="348" t="s">
        <v>237</v>
      </c>
      <c r="F62" s="334" t="s">
        <v>2658</v>
      </c>
      <c r="G62" s="334" t="s">
        <v>62</v>
      </c>
      <c r="H62" s="334" t="s">
        <v>238</v>
      </c>
      <c r="I62" s="334" t="s">
        <v>226</v>
      </c>
      <c r="J62" s="334" t="s">
        <v>1191</v>
      </c>
      <c r="K62" s="334" t="s">
        <v>2724</v>
      </c>
      <c r="L62" s="344" t="s">
        <v>1387</v>
      </c>
      <c r="M62" s="334"/>
      <c r="N62" s="334" t="s">
        <v>10</v>
      </c>
      <c r="O62" s="345"/>
      <c r="P62" s="334"/>
      <c r="Q62" s="340"/>
      <c r="R62" s="349"/>
      <c r="S62" s="334"/>
      <c r="T62" s="334"/>
      <c r="U62" s="334"/>
      <c r="V62" s="334"/>
      <c r="W62" s="334"/>
      <c r="X62" s="334"/>
      <c r="Y62" s="334"/>
      <c r="Z62" s="334"/>
      <c r="AA62" s="334"/>
    </row>
    <row r="63" spans="1:27" ht="63" hidden="1">
      <c r="A63" s="334" t="s">
        <v>53</v>
      </c>
      <c r="B63" s="335" t="s">
        <v>195</v>
      </c>
      <c r="C63" s="334" t="s">
        <v>222</v>
      </c>
      <c r="D63" s="334" t="s">
        <v>239</v>
      </c>
      <c r="E63" s="348" t="s">
        <v>240</v>
      </c>
      <c r="F63" s="334" t="s">
        <v>2658</v>
      </c>
      <c r="G63" s="334" t="s">
        <v>62</v>
      </c>
      <c r="H63" s="334" t="s">
        <v>241</v>
      </c>
      <c r="I63" s="334" t="s">
        <v>226</v>
      </c>
      <c r="J63" s="334" t="s">
        <v>1090</v>
      </c>
      <c r="K63" s="334" t="s">
        <v>2725</v>
      </c>
      <c r="L63" s="344" t="s">
        <v>2726</v>
      </c>
      <c r="M63" s="334"/>
      <c r="N63" s="334"/>
      <c r="O63" s="345"/>
      <c r="P63" s="334"/>
      <c r="Q63" s="340"/>
      <c r="R63" s="349"/>
      <c r="S63" s="334"/>
      <c r="T63" s="334"/>
      <c r="U63" s="334"/>
      <c r="V63" s="334"/>
      <c r="W63" s="334"/>
      <c r="X63" s="334"/>
      <c r="Y63" s="334"/>
      <c r="Z63" s="334"/>
      <c r="AA63" s="334"/>
    </row>
    <row r="64" spans="1:27" ht="63" hidden="1">
      <c r="A64" s="334" t="s">
        <v>53</v>
      </c>
      <c r="B64" s="335" t="s">
        <v>195</v>
      </c>
      <c r="C64" s="334" t="s">
        <v>222</v>
      </c>
      <c r="D64" s="334" t="s">
        <v>242</v>
      </c>
      <c r="E64" s="348" t="s">
        <v>243</v>
      </c>
      <c r="F64" s="334" t="s">
        <v>2658</v>
      </c>
      <c r="G64" s="334" t="s">
        <v>62</v>
      </c>
      <c r="H64" s="334" t="s">
        <v>244</v>
      </c>
      <c r="I64" s="334" t="s">
        <v>226</v>
      </c>
      <c r="J64" s="334" t="s">
        <v>1090</v>
      </c>
      <c r="K64" s="334" t="s">
        <v>2727</v>
      </c>
      <c r="L64" s="344" t="s">
        <v>2726</v>
      </c>
      <c r="M64" s="334"/>
      <c r="N64" s="334"/>
      <c r="O64" s="345"/>
      <c r="P64" s="334"/>
      <c r="Q64" s="340"/>
      <c r="R64" s="349"/>
      <c r="S64" s="334"/>
      <c r="T64" s="334"/>
      <c r="U64" s="334"/>
      <c r="V64" s="334"/>
      <c r="W64" s="334"/>
      <c r="X64" s="334"/>
      <c r="Y64" s="334"/>
      <c r="Z64" s="334"/>
      <c r="AA64" s="334"/>
    </row>
    <row r="65" spans="1:27" ht="63" hidden="1">
      <c r="A65" s="334" t="s">
        <v>53</v>
      </c>
      <c r="B65" s="335" t="s">
        <v>195</v>
      </c>
      <c r="C65" s="334" t="s">
        <v>222</v>
      </c>
      <c r="D65" s="334" t="s">
        <v>245</v>
      </c>
      <c r="E65" s="348" t="s">
        <v>246</v>
      </c>
      <c r="F65" s="334" t="s">
        <v>2658</v>
      </c>
      <c r="G65" s="334" t="s">
        <v>62</v>
      </c>
      <c r="H65" s="334" t="s">
        <v>247</v>
      </c>
      <c r="I65" s="334" t="s">
        <v>226</v>
      </c>
      <c r="J65" s="334" t="s">
        <v>1090</v>
      </c>
      <c r="K65" s="334" t="s">
        <v>2728</v>
      </c>
      <c r="L65" s="344" t="s">
        <v>2726</v>
      </c>
      <c r="M65" s="334"/>
      <c r="N65" s="334"/>
      <c r="O65" s="345"/>
      <c r="P65" s="334"/>
      <c r="Q65" s="340"/>
      <c r="R65" s="349"/>
      <c r="S65" s="334"/>
      <c r="T65" s="334"/>
      <c r="U65" s="334"/>
      <c r="V65" s="334"/>
      <c r="W65" s="334"/>
      <c r="X65" s="334"/>
      <c r="Y65" s="334"/>
      <c r="Z65" s="334"/>
      <c r="AA65" s="334"/>
    </row>
    <row r="66" spans="1:27" ht="141.75" hidden="1">
      <c r="A66" s="334" t="s">
        <v>53</v>
      </c>
      <c r="B66" s="335" t="s">
        <v>195</v>
      </c>
      <c r="C66" s="334" t="s">
        <v>222</v>
      </c>
      <c r="D66" s="334" t="s">
        <v>248</v>
      </c>
      <c r="E66" s="348" t="s">
        <v>2729</v>
      </c>
      <c r="F66" s="334" t="s">
        <v>2658</v>
      </c>
      <c r="G66" s="334" t="s">
        <v>62</v>
      </c>
      <c r="H66" s="334" t="s">
        <v>250</v>
      </c>
      <c r="I66" s="334" t="s">
        <v>226</v>
      </c>
      <c r="J66" s="334" t="s">
        <v>8</v>
      </c>
      <c r="K66" s="334"/>
      <c r="L66" s="344"/>
      <c r="M66" s="334"/>
      <c r="N66" s="334"/>
      <c r="O66" s="345"/>
      <c r="P66" s="334" t="s">
        <v>2730</v>
      </c>
      <c r="Q66" s="340"/>
      <c r="R66" s="349"/>
      <c r="S66" s="334"/>
      <c r="T66" s="334"/>
      <c r="U66" s="334"/>
      <c r="V66" s="334"/>
      <c r="W66" s="334"/>
      <c r="X66" s="334"/>
      <c r="Y66" s="334"/>
      <c r="Z66" s="334"/>
      <c r="AA66" s="334"/>
    </row>
    <row r="67" spans="1:27" ht="82.5" hidden="1" customHeight="1">
      <c r="A67" s="334" t="s">
        <v>53</v>
      </c>
      <c r="B67" s="335" t="s">
        <v>195</v>
      </c>
      <c r="C67" s="334" t="s">
        <v>251</v>
      </c>
      <c r="D67" s="334" t="s">
        <v>252</v>
      </c>
      <c r="E67" s="334" t="s">
        <v>253</v>
      </c>
      <c r="F67" s="334" t="s">
        <v>2658</v>
      </c>
      <c r="G67" s="334" t="s">
        <v>62</v>
      </c>
      <c r="H67" s="334" t="s">
        <v>254</v>
      </c>
      <c r="I67" s="334" t="s">
        <v>255</v>
      </c>
      <c r="J67" s="334" t="s">
        <v>1191</v>
      </c>
      <c r="K67" s="334" t="s">
        <v>2731</v>
      </c>
      <c r="L67" s="344" t="s">
        <v>2355</v>
      </c>
      <c r="M67" s="334"/>
      <c r="N67" s="334"/>
      <c r="O67" s="345"/>
      <c r="P67" s="334" t="s">
        <v>2732</v>
      </c>
      <c r="Q67" s="340"/>
      <c r="R67" s="349"/>
      <c r="S67" s="334"/>
      <c r="T67" s="334"/>
      <c r="U67" s="334"/>
      <c r="V67" s="334"/>
      <c r="W67" s="334"/>
      <c r="X67" s="334"/>
      <c r="Y67" s="334"/>
      <c r="Z67" s="334"/>
      <c r="AA67" s="334"/>
    </row>
    <row r="68" spans="1:27" ht="157.5" hidden="1">
      <c r="A68" s="334" t="s">
        <v>53</v>
      </c>
      <c r="B68" s="335" t="s">
        <v>195</v>
      </c>
      <c r="C68" s="334" t="s">
        <v>256</v>
      </c>
      <c r="D68" s="334" t="s">
        <v>257</v>
      </c>
      <c r="E68" s="334" t="s">
        <v>258</v>
      </c>
      <c r="F68" s="334" t="s">
        <v>2658</v>
      </c>
      <c r="G68" s="334" t="s">
        <v>62</v>
      </c>
      <c r="H68" s="334" t="s">
        <v>259</v>
      </c>
      <c r="I68" s="334" t="s">
        <v>260</v>
      </c>
      <c r="J68" s="334" t="s">
        <v>1191</v>
      </c>
      <c r="K68" s="334" t="s">
        <v>2733</v>
      </c>
      <c r="L68" s="344" t="s">
        <v>2387</v>
      </c>
      <c r="M68" s="334"/>
      <c r="N68" s="334"/>
      <c r="O68" s="345"/>
      <c r="P68" s="334" t="s">
        <v>2734</v>
      </c>
      <c r="Q68" s="340"/>
      <c r="R68" s="349"/>
      <c r="S68" s="334"/>
      <c r="T68" s="334"/>
      <c r="U68" s="334"/>
      <c r="V68" s="334"/>
      <c r="W68" s="334"/>
      <c r="X68" s="334"/>
      <c r="Y68" s="334"/>
      <c r="Z68" s="334"/>
      <c r="AA68" s="334"/>
    </row>
    <row r="69" spans="1:27" ht="63" hidden="1">
      <c r="A69" s="334" t="s">
        <v>53</v>
      </c>
      <c r="B69" s="335" t="s">
        <v>195</v>
      </c>
      <c r="C69" s="334" t="s">
        <v>256</v>
      </c>
      <c r="D69" s="334" t="s">
        <v>261</v>
      </c>
      <c r="E69" s="334" t="s">
        <v>262</v>
      </c>
      <c r="F69" s="334" t="s">
        <v>2658</v>
      </c>
      <c r="G69" s="334" t="s">
        <v>62</v>
      </c>
      <c r="H69" s="334" t="s">
        <v>263</v>
      </c>
      <c r="I69" s="334" t="s">
        <v>260</v>
      </c>
      <c r="J69" s="334" t="s">
        <v>1090</v>
      </c>
      <c r="K69" s="334" t="s">
        <v>2735</v>
      </c>
      <c r="L69" s="344"/>
      <c r="M69" s="334"/>
      <c r="N69" s="334"/>
      <c r="O69" s="345"/>
      <c r="P69" s="334" t="s">
        <v>2736</v>
      </c>
      <c r="Q69" s="340"/>
      <c r="R69" s="349"/>
      <c r="S69" s="334"/>
      <c r="T69" s="334"/>
      <c r="U69" s="334"/>
      <c r="V69" s="334"/>
      <c r="W69" s="334"/>
      <c r="X69" s="334"/>
      <c r="Y69" s="334"/>
      <c r="Z69" s="334"/>
      <c r="AA69" s="334"/>
    </row>
    <row r="70" spans="1:27" ht="157.5" hidden="1">
      <c r="A70" s="334" t="s">
        <v>53</v>
      </c>
      <c r="B70" s="335" t="s">
        <v>195</v>
      </c>
      <c r="C70" s="334" t="s">
        <v>256</v>
      </c>
      <c r="D70" s="334" t="s">
        <v>264</v>
      </c>
      <c r="E70" s="334" t="s">
        <v>265</v>
      </c>
      <c r="F70" s="334" t="s">
        <v>2658</v>
      </c>
      <c r="G70" s="334" t="s">
        <v>62</v>
      </c>
      <c r="H70" s="334" t="s">
        <v>266</v>
      </c>
      <c r="I70" s="334" t="s">
        <v>260</v>
      </c>
      <c r="J70" s="334" t="s">
        <v>1090</v>
      </c>
      <c r="K70" s="334" t="s">
        <v>2733</v>
      </c>
      <c r="L70" s="344"/>
      <c r="M70" s="334"/>
      <c r="N70" s="334"/>
      <c r="O70" s="345"/>
      <c r="P70" s="334" t="s">
        <v>2737</v>
      </c>
      <c r="Q70" s="340"/>
      <c r="R70" s="349"/>
      <c r="S70" s="334"/>
      <c r="T70" s="334"/>
      <c r="U70" s="334"/>
      <c r="V70" s="334"/>
      <c r="W70" s="334"/>
      <c r="X70" s="334"/>
      <c r="Y70" s="334"/>
      <c r="Z70" s="334"/>
      <c r="AA70" s="334"/>
    </row>
    <row r="71" spans="1:27" ht="63" hidden="1">
      <c r="A71" s="334" t="s">
        <v>53</v>
      </c>
      <c r="B71" s="335" t="s">
        <v>195</v>
      </c>
      <c r="C71" s="334" t="s">
        <v>256</v>
      </c>
      <c r="D71" s="334" t="s">
        <v>267</v>
      </c>
      <c r="E71" s="334" t="s">
        <v>268</v>
      </c>
      <c r="F71" s="334"/>
      <c r="G71" s="334" t="s">
        <v>62</v>
      </c>
      <c r="H71" s="334" t="s">
        <v>269</v>
      </c>
      <c r="I71" s="334" t="s">
        <v>270</v>
      </c>
      <c r="J71" s="334" t="s">
        <v>8</v>
      </c>
      <c r="K71" s="334"/>
      <c r="L71" s="344"/>
      <c r="M71" s="334"/>
      <c r="N71" s="334"/>
      <c r="O71" s="345"/>
      <c r="P71" s="334" t="s">
        <v>2738</v>
      </c>
      <c r="Q71" s="340"/>
      <c r="R71" s="349"/>
      <c r="S71" s="334"/>
      <c r="T71" s="334"/>
      <c r="U71" s="334"/>
      <c r="V71" s="334"/>
      <c r="W71" s="334"/>
      <c r="X71" s="334"/>
      <c r="Y71" s="334"/>
      <c r="Z71" s="334"/>
      <c r="AA71" s="334"/>
    </row>
    <row r="72" spans="1:27" ht="78.75" hidden="1">
      <c r="A72" s="334" t="s">
        <v>53</v>
      </c>
      <c r="B72" s="335" t="s">
        <v>195</v>
      </c>
      <c r="C72" s="334" t="s">
        <v>256</v>
      </c>
      <c r="D72" s="334" t="s">
        <v>271</v>
      </c>
      <c r="E72" s="334" t="s">
        <v>272</v>
      </c>
      <c r="F72" s="334"/>
      <c r="G72" s="334" t="s">
        <v>71</v>
      </c>
      <c r="H72" s="334" t="s">
        <v>273</v>
      </c>
      <c r="I72" s="334" t="s">
        <v>135</v>
      </c>
      <c r="J72" s="334"/>
      <c r="K72" s="334"/>
      <c r="L72" s="344"/>
      <c r="M72" s="334"/>
      <c r="N72" s="334"/>
      <c r="O72" s="345"/>
      <c r="P72" s="334"/>
      <c r="Q72" s="340"/>
      <c r="R72" s="349"/>
      <c r="S72" s="334"/>
      <c r="T72" s="334"/>
      <c r="U72" s="334"/>
      <c r="V72" s="334"/>
      <c r="W72" s="334"/>
      <c r="X72" s="334"/>
      <c r="Y72" s="334"/>
      <c r="Z72" s="334"/>
      <c r="AA72" s="334"/>
    </row>
    <row r="73" spans="1:27" ht="63" hidden="1">
      <c r="A73" s="334" t="s">
        <v>53</v>
      </c>
      <c r="B73" s="335" t="s">
        <v>274</v>
      </c>
      <c r="C73" s="334" t="s">
        <v>275</v>
      </c>
      <c r="D73" s="334" t="s">
        <v>276</v>
      </c>
      <c r="E73" s="334" t="s">
        <v>277</v>
      </c>
      <c r="F73" s="336"/>
      <c r="G73" s="336" t="s">
        <v>62</v>
      </c>
      <c r="H73" s="336"/>
      <c r="I73" s="336"/>
      <c r="J73" s="336"/>
      <c r="K73" s="336"/>
      <c r="L73" s="338"/>
      <c r="M73" s="336"/>
      <c r="N73" s="336"/>
      <c r="O73" s="339"/>
      <c r="P73" s="336"/>
      <c r="Q73" s="340"/>
      <c r="R73" s="341"/>
      <c r="S73" s="336"/>
      <c r="T73" s="336"/>
      <c r="U73" s="336"/>
      <c r="V73" s="336"/>
      <c r="W73" s="336"/>
      <c r="X73" s="336"/>
      <c r="Y73" s="336"/>
      <c r="Z73" s="336"/>
      <c r="AA73" s="336"/>
    </row>
    <row r="74" spans="1:27" ht="126" hidden="1">
      <c r="A74" s="334"/>
      <c r="B74" s="335" t="s">
        <v>274</v>
      </c>
      <c r="C74" s="334" t="s">
        <v>275</v>
      </c>
      <c r="D74" s="334" t="s">
        <v>278</v>
      </c>
      <c r="E74" s="348" t="s">
        <v>279</v>
      </c>
      <c r="F74" s="334" t="s">
        <v>2666</v>
      </c>
      <c r="G74" s="334" t="s">
        <v>62</v>
      </c>
      <c r="H74" s="334" t="s">
        <v>280</v>
      </c>
      <c r="I74" s="367">
        <v>1</v>
      </c>
      <c r="J74" s="334" t="s">
        <v>1090</v>
      </c>
      <c r="K74" s="334" t="s">
        <v>2739</v>
      </c>
      <c r="L74" s="344"/>
      <c r="M74" s="334"/>
      <c r="N74" s="334"/>
      <c r="O74" s="345"/>
      <c r="P74" s="334" t="s">
        <v>2740</v>
      </c>
      <c r="Q74" s="340"/>
      <c r="R74" s="349"/>
      <c r="S74" s="334"/>
      <c r="T74" s="334"/>
      <c r="U74" s="334"/>
      <c r="V74" s="334"/>
      <c r="W74" s="334"/>
      <c r="X74" s="334"/>
      <c r="Y74" s="334"/>
      <c r="Z74" s="334"/>
      <c r="AA74" s="334"/>
    </row>
    <row r="75" spans="1:27" ht="157.5" hidden="1">
      <c r="A75" s="334" t="s">
        <v>53</v>
      </c>
      <c r="B75" s="335" t="s">
        <v>274</v>
      </c>
      <c r="C75" s="334" t="s">
        <v>275</v>
      </c>
      <c r="D75" s="334" t="s">
        <v>281</v>
      </c>
      <c r="E75" s="348" t="s">
        <v>279</v>
      </c>
      <c r="F75" s="334" t="s">
        <v>2666</v>
      </c>
      <c r="G75" s="334" t="s">
        <v>62</v>
      </c>
      <c r="H75" s="334" t="s">
        <v>282</v>
      </c>
      <c r="I75" s="367">
        <v>1</v>
      </c>
      <c r="J75" s="343" t="s">
        <v>1090</v>
      </c>
      <c r="K75" s="334" t="s">
        <v>2741</v>
      </c>
      <c r="L75" s="344"/>
      <c r="M75" s="343"/>
      <c r="N75" s="343"/>
      <c r="O75" s="345"/>
      <c r="P75" s="334" t="s">
        <v>2742</v>
      </c>
      <c r="Q75" s="346"/>
      <c r="R75" s="347"/>
      <c r="S75" s="343"/>
      <c r="T75" s="343"/>
      <c r="U75" s="343"/>
      <c r="V75" s="343"/>
      <c r="W75" s="343"/>
      <c r="X75" s="343"/>
      <c r="Y75" s="343"/>
      <c r="Z75" s="343"/>
      <c r="AA75" s="334"/>
    </row>
    <row r="76" spans="1:27" ht="126" hidden="1">
      <c r="A76" s="334" t="s">
        <v>53</v>
      </c>
      <c r="B76" s="335" t="s">
        <v>274</v>
      </c>
      <c r="C76" s="334" t="s">
        <v>275</v>
      </c>
      <c r="D76" s="334" t="s">
        <v>283</v>
      </c>
      <c r="E76" s="348" t="s">
        <v>284</v>
      </c>
      <c r="F76" s="334" t="s">
        <v>2666</v>
      </c>
      <c r="G76" s="334" t="s">
        <v>62</v>
      </c>
      <c r="H76" s="334" t="s">
        <v>285</v>
      </c>
      <c r="I76" s="367">
        <v>1</v>
      </c>
      <c r="J76" s="334" t="s">
        <v>1090</v>
      </c>
      <c r="K76" s="334" t="s">
        <v>2741</v>
      </c>
      <c r="L76" s="344"/>
      <c r="M76" s="334"/>
      <c r="N76" s="334"/>
      <c r="O76" s="345"/>
      <c r="P76" s="334"/>
      <c r="Q76" s="340"/>
      <c r="R76" s="349"/>
      <c r="S76" s="334"/>
      <c r="T76" s="334"/>
      <c r="U76" s="334"/>
      <c r="V76" s="334"/>
      <c r="W76" s="334"/>
      <c r="X76" s="334"/>
      <c r="Y76" s="334"/>
      <c r="Z76" s="334"/>
      <c r="AA76" s="334"/>
    </row>
    <row r="77" spans="1:27" ht="126" hidden="1">
      <c r="A77" s="334"/>
      <c r="B77" s="335" t="s">
        <v>274</v>
      </c>
      <c r="C77" s="334" t="s">
        <v>275</v>
      </c>
      <c r="D77" s="334" t="s">
        <v>286</v>
      </c>
      <c r="E77" s="348" t="s">
        <v>284</v>
      </c>
      <c r="F77" s="334" t="s">
        <v>2666</v>
      </c>
      <c r="G77" s="334" t="s">
        <v>62</v>
      </c>
      <c r="H77" s="334" t="s">
        <v>287</v>
      </c>
      <c r="I77" s="367">
        <v>1</v>
      </c>
      <c r="J77" s="334" t="s">
        <v>1090</v>
      </c>
      <c r="K77" s="334" t="s">
        <v>2741</v>
      </c>
      <c r="L77" s="344"/>
      <c r="M77" s="334"/>
      <c r="N77" s="334"/>
      <c r="O77" s="345"/>
      <c r="P77" s="334"/>
      <c r="Q77" s="340"/>
      <c r="R77" s="349"/>
      <c r="S77" s="334"/>
      <c r="T77" s="334"/>
      <c r="U77" s="334"/>
      <c r="V77" s="334"/>
      <c r="W77" s="334"/>
      <c r="X77" s="334"/>
      <c r="Y77" s="334"/>
      <c r="Z77" s="334"/>
      <c r="AA77" s="334"/>
    </row>
    <row r="78" spans="1:27" ht="126" hidden="1">
      <c r="A78" s="334" t="s">
        <v>53</v>
      </c>
      <c r="B78" s="335" t="s">
        <v>274</v>
      </c>
      <c r="C78" s="334" t="s">
        <v>275</v>
      </c>
      <c r="D78" s="334" t="s">
        <v>288</v>
      </c>
      <c r="E78" s="348" t="s">
        <v>289</v>
      </c>
      <c r="F78" s="334" t="s">
        <v>2666</v>
      </c>
      <c r="G78" s="334" t="s">
        <v>62</v>
      </c>
      <c r="H78" s="334" t="s">
        <v>2743</v>
      </c>
      <c r="I78" s="367">
        <v>1</v>
      </c>
      <c r="J78" s="334" t="s">
        <v>1090</v>
      </c>
      <c r="K78" s="334" t="s">
        <v>2741</v>
      </c>
      <c r="L78" s="344"/>
      <c r="M78" s="334"/>
      <c r="N78" s="334"/>
      <c r="O78" s="345"/>
      <c r="P78" s="334"/>
      <c r="Q78" s="340"/>
      <c r="R78" s="349"/>
      <c r="S78" s="334"/>
      <c r="T78" s="334"/>
      <c r="U78" s="334"/>
      <c r="V78" s="334"/>
      <c r="W78" s="334"/>
      <c r="X78" s="334"/>
      <c r="Y78" s="334"/>
      <c r="Z78" s="334"/>
      <c r="AA78" s="334"/>
    </row>
    <row r="79" spans="1:27" ht="126" hidden="1">
      <c r="A79" s="334" t="s">
        <v>53</v>
      </c>
      <c r="B79" s="335" t="s">
        <v>274</v>
      </c>
      <c r="C79" s="334" t="s">
        <v>275</v>
      </c>
      <c r="D79" s="334" t="s">
        <v>291</v>
      </c>
      <c r="E79" s="348" t="s">
        <v>289</v>
      </c>
      <c r="F79" s="334" t="s">
        <v>2666</v>
      </c>
      <c r="G79" s="334" t="s">
        <v>62</v>
      </c>
      <c r="H79" s="334" t="s">
        <v>2744</v>
      </c>
      <c r="I79" s="367">
        <v>1</v>
      </c>
      <c r="J79" s="334" t="s">
        <v>1090</v>
      </c>
      <c r="K79" s="334" t="s">
        <v>2741</v>
      </c>
      <c r="L79" s="344"/>
      <c r="M79" s="334"/>
      <c r="N79" s="334"/>
      <c r="O79" s="345"/>
      <c r="P79" s="334"/>
      <c r="Q79" s="340"/>
      <c r="R79" s="349"/>
      <c r="S79" s="334"/>
      <c r="T79" s="334"/>
      <c r="U79" s="334"/>
      <c r="V79" s="334"/>
      <c r="W79" s="334"/>
      <c r="X79" s="334"/>
      <c r="Y79" s="334"/>
      <c r="Z79" s="334"/>
      <c r="AA79" s="334"/>
    </row>
    <row r="80" spans="1:27" ht="78.75" hidden="1">
      <c r="A80" s="334" t="s">
        <v>53</v>
      </c>
      <c r="B80" s="335" t="s">
        <v>274</v>
      </c>
      <c r="C80" s="334" t="s">
        <v>293</v>
      </c>
      <c r="D80" s="334" t="s">
        <v>294</v>
      </c>
      <c r="E80" s="334" t="s">
        <v>295</v>
      </c>
      <c r="F80" s="334"/>
      <c r="G80" s="334" t="s">
        <v>71</v>
      </c>
      <c r="H80" s="334" t="s">
        <v>296</v>
      </c>
      <c r="I80" s="334" t="s">
        <v>297</v>
      </c>
      <c r="J80" s="334"/>
      <c r="K80" s="334"/>
      <c r="L80" s="344"/>
      <c r="M80" s="334"/>
      <c r="N80" s="334"/>
      <c r="O80" s="345"/>
      <c r="P80" s="334"/>
      <c r="Q80" s="340"/>
      <c r="R80" s="349"/>
      <c r="S80" s="334"/>
      <c r="T80" s="334"/>
      <c r="U80" s="334"/>
      <c r="V80" s="334"/>
      <c r="W80" s="334"/>
      <c r="X80" s="334"/>
      <c r="Y80" s="334"/>
      <c r="Z80" s="334"/>
      <c r="AA80" s="334"/>
    </row>
    <row r="81" spans="1:27" ht="47.25" hidden="1">
      <c r="A81" s="334" t="s">
        <v>53</v>
      </c>
      <c r="B81" s="335" t="s">
        <v>274</v>
      </c>
      <c r="C81" s="334" t="s">
        <v>298</v>
      </c>
      <c r="D81" s="334" t="s">
        <v>299</v>
      </c>
      <c r="E81" s="334" t="s">
        <v>300</v>
      </c>
      <c r="F81" s="336"/>
      <c r="G81" s="336" t="s">
        <v>62</v>
      </c>
      <c r="H81" s="336"/>
      <c r="I81" s="336"/>
      <c r="J81" s="336"/>
      <c r="K81" s="336"/>
      <c r="L81" s="338"/>
      <c r="M81" s="336"/>
      <c r="N81" s="336"/>
      <c r="O81" s="339"/>
      <c r="P81" s="336"/>
      <c r="Q81" s="340"/>
      <c r="R81" s="341"/>
      <c r="S81" s="336"/>
      <c r="T81" s="336"/>
      <c r="U81" s="336"/>
      <c r="V81" s="336"/>
      <c r="W81" s="336"/>
      <c r="X81" s="336"/>
      <c r="Y81" s="336"/>
      <c r="Z81" s="336"/>
      <c r="AA81" s="336"/>
    </row>
    <row r="82" spans="1:27" ht="94.5" hidden="1">
      <c r="A82" s="334" t="s">
        <v>53</v>
      </c>
      <c r="B82" s="335" t="s">
        <v>274</v>
      </c>
      <c r="C82" s="334" t="s">
        <v>298</v>
      </c>
      <c r="D82" s="334" t="s">
        <v>301</v>
      </c>
      <c r="E82" s="348" t="s">
        <v>302</v>
      </c>
      <c r="F82" s="334" t="s">
        <v>2666</v>
      </c>
      <c r="G82" s="334" t="s">
        <v>62</v>
      </c>
      <c r="H82" s="334" t="s">
        <v>303</v>
      </c>
      <c r="I82" s="334" t="s">
        <v>210</v>
      </c>
      <c r="J82" s="334" t="s">
        <v>1090</v>
      </c>
      <c r="K82" s="334" t="s">
        <v>2745</v>
      </c>
      <c r="L82" s="344"/>
      <c r="M82" s="334"/>
      <c r="N82" s="334"/>
      <c r="O82" s="345"/>
      <c r="P82" s="334"/>
      <c r="Q82" s="340"/>
      <c r="R82" s="349"/>
      <c r="S82" s="334"/>
      <c r="T82" s="334"/>
      <c r="U82" s="334"/>
      <c r="V82" s="334"/>
      <c r="W82" s="334"/>
      <c r="X82" s="334"/>
      <c r="Y82" s="334"/>
      <c r="Z82" s="334"/>
      <c r="AA82" s="334"/>
    </row>
    <row r="83" spans="1:27" ht="157.5" hidden="1">
      <c r="A83" s="334" t="s">
        <v>53</v>
      </c>
      <c r="B83" s="335" t="s">
        <v>274</v>
      </c>
      <c r="C83" s="334" t="s">
        <v>298</v>
      </c>
      <c r="D83" s="334" t="s">
        <v>304</v>
      </c>
      <c r="E83" s="348" t="s">
        <v>305</v>
      </c>
      <c r="F83" s="334" t="s">
        <v>2666</v>
      </c>
      <c r="G83" s="334" t="s">
        <v>62</v>
      </c>
      <c r="H83" s="334" t="s">
        <v>306</v>
      </c>
      <c r="I83" s="334" t="s">
        <v>210</v>
      </c>
      <c r="J83" s="334" t="s">
        <v>1191</v>
      </c>
      <c r="K83" s="334" t="s">
        <v>2746</v>
      </c>
      <c r="L83" s="344" t="s">
        <v>2387</v>
      </c>
      <c r="M83" s="334"/>
      <c r="N83" s="334"/>
      <c r="O83" s="345"/>
      <c r="P83" s="334"/>
      <c r="Q83" s="340"/>
      <c r="R83" s="349"/>
      <c r="S83" s="334"/>
      <c r="T83" s="334"/>
      <c r="U83" s="334"/>
      <c r="V83" s="334"/>
      <c r="W83" s="334"/>
      <c r="X83" s="334"/>
      <c r="Y83" s="334"/>
      <c r="Z83" s="334"/>
      <c r="AA83" s="334"/>
    </row>
    <row r="84" spans="1:27" ht="63" hidden="1">
      <c r="A84" s="334" t="s">
        <v>53</v>
      </c>
      <c r="B84" s="335" t="s">
        <v>274</v>
      </c>
      <c r="C84" s="334" t="s">
        <v>298</v>
      </c>
      <c r="D84" s="334" t="s">
        <v>307</v>
      </c>
      <c r="E84" s="348" t="s">
        <v>308</v>
      </c>
      <c r="F84" s="334" t="s">
        <v>2666</v>
      </c>
      <c r="G84" s="334" t="s">
        <v>62</v>
      </c>
      <c r="H84" s="334" t="s">
        <v>309</v>
      </c>
      <c r="I84" s="334" t="s">
        <v>210</v>
      </c>
      <c r="J84" s="334" t="s">
        <v>8</v>
      </c>
      <c r="K84" s="334" t="s">
        <v>2747</v>
      </c>
      <c r="L84" s="344"/>
      <c r="M84" s="334"/>
      <c r="N84" s="334"/>
      <c r="O84" s="345"/>
      <c r="P84" s="334"/>
      <c r="Q84" s="340"/>
      <c r="R84" s="349"/>
      <c r="S84" s="334"/>
      <c r="T84" s="334"/>
      <c r="U84" s="334"/>
      <c r="V84" s="334"/>
      <c r="W84" s="334"/>
      <c r="X84" s="334"/>
      <c r="Y84" s="334"/>
      <c r="Z84" s="334"/>
      <c r="AA84" s="334"/>
    </row>
    <row r="85" spans="1:27" ht="47.25" hidden="1">
      <c r="A85" s="368" t="s">
        <v>53</v>
      </c>
      <c r="B85" s="369" t="s">
        <v>274</v>
      </c>
      <c r="C85" s="368" t="s">
        <v>298</v>
      </c>
      <c r="D85" s="368" t="s">
        <v>310</v>
      </c>
      <c r="E85" s="370" t="s">
        <v>311</v>
      </c>
      <c r="F85" s="368" t="s">
        <v>2666</v>
      </c>
      <c r="G85" s="368" t="s">
        <v>62</v>
      </c>
      <c r="H85" s="368" t="s">
        <v>312</v>
      </c>
      <c r="I85" s="371">
        <v>1</v>
      </c>
      <c r="J85" s="368" t="s">
        <v>8</v>
      </c>
      <c r="K85" s="368"/>
      <c r="L85" s="372"/>
      <c r="M85" s="368"/>
      <c r="N85" s="368"/>
      <c r="O85" s="373"/>
      <c r="P85" s="368" t="s">
        <v>2705</v>
      </c>
      <c r="Q85" s="340"/>
      <c r="R85" s="374"/>
      <c r="S85" s="368"/>
      <c r="T85" s="368"/>
      <c r="U85" s="368"/>
      <c r="V85" s="368"/>
      <c r="W85" s="368"/>
      <c r="X85" s="368"/>
      <c r="Y85" s="368"/>
      <c r="Z85" s="368"/>
      <c r="AA85" s="368"/>
    </row>
    <row r="86" spans="1:27" ht="47.25" hidden="1">
      <c r="A86" s="334" t="s">
        <v>53</v>
      </c>
      <c r="B86" s="335" t="s">
        <v>274</v>
      </c>
      <c r="C86" s="334" t="s">
        <v>298</v>
      </c>
      <c r="D86" s="334" t="s">
        <v>313</v>
      </c>
      <c r="E86" s="334" t="s">
        <v>314</v>
      </c>
      <c r="F86" s="334" t="s">
        <v>2666</v>
      </c>
      <c r="G86" s="334" t="s">
        <v>62</v>
      </c>
      <c r="H86" s="334" t="s">
        <v>315</v>
      </c>
      <c r="I86" s="334" t="s">
        <v>221</v>
      </c>
      <c r="J86" s="334" t="s">
        <v>8</v>
      </c>
      <c r="K86" s="334"/>
      <c r="L86" s="344"/>
      <c r="M86" s="334"/>
      <c r="N86" s="334"/>
      <c r="O86" s="375"/>
      <c r="P86" s="334" t="s">
        <v>2705</v>
      </c>
      <c r="Q86" s="327"/>
      <c r="R86" s="334"/>
      <c r="S86" s="349"/>
      <c r="T86" s="334"/>
      <c r="U86" s="334"/>
      <c r="V86" s="334"/>
      <c r="W86" s="334"/>
      <c r="X86" s="334"/>
      <c r="Y86" s="334"/>
      <c r="Z86" s="334"/>
      <c r="AA86" s="334"/>
    </row>
    <row r="87" spans="1:27" ht="78.75" hidden="1">
      <c r="A87" s="376" t="s">
        <v>53</v>
      </c>
      <c r="B87" s="377" t="s">
        <v>274</v>
      </c>
      <c r="C87" s="376" t="s">
        <v>298</v>
      </c>
      <c r="D87" s="376" t="s">
        <v>316</v>
      </c>
      <c r="E87" s="376" t="s">
        <v>317</v>
      </c>
      <c r="F87" s="376" t="s">
        <v>2666</v>
      </c>
      <c r="G87" s="376" t="s">
        <v>62</v>
      </c>
      <c r="H87" s="376" t="s">
        <v>318</v>
      </c>
      <c r="I87" s="378">
        <v>1</v>
      </c>
      <c r="J87" s="378" t="s">
        <v>1191</v>
      </c>
      <c r="K87" s="378" t="s">
        <v>2748</v>
      </c>
      <c r="L87" s="379"/>
      <c r="M87" s="378"/>
      <c r="N87" s="378"/>
      <c r="O87" s="380"/>
      <c r="P87" s="376"/>
      <c r="Q87" s="346"/>
      <c r="R87" s="381"/>
      <c r="S87" s="378"/>
      <c r="T87" s="378"/>
      <c r="U87" s="378"/>
      <c r="V87" s="378"/>
      <c r="W87" s="378"/>
      <c r="X87" s="378"/>
      <c r="Y87" s="378"/>
      <c r="Z87" s="378"/>
      <c r="AA87" s="376"/>
    </row>
    <row r="88" spans="1:27" ht="63" hidden="1">
      <c r="A88" s="334" t="s">
        <v>53</v>
      </c>
      <c r="B88" s="335" t="s">
        <v>274</v>
      </c>
      <c r="C88" s="334" t="s">
        <v>319</v>
      </c>
      <c r="D88" s="334" t="s">
        <v>320</v>
      </c>
      <c r="E88" s="334" t="s">
        <v>321</v>
      </c>
      <c r="F88" s="336"/>
      <c r="G88" s="336" t="s">
        <v>62</v>
      </c>
      <c r="H88" s="336"/>
      <c r="I88" s="336"/>
      <c r="J88" s="336"/>
      <c r="K88" s="336"/>
      <c r="L88" s="338"/>
      <c r="M88" s="336"/>
      <c r="N88" s="336"/>
      <c r="O88" s="339"/>
      <c r="P88" s="336"/>
      <c r="Q88" s="340"/>
      <c r="R88" s="341"/>
      <c r="S88" s="336"/>
      <c r="T88" s="336"/>
      <c r="U88" s="336"/>
      <c r="V88" s="336"/>
      <c r="W88" s="336"/>
      <c r="X88" s="336"/>
      <c r="Y88" s="336"/>
      <c r="Z88" s="336"/>
      <c r="AA88" s="336"/>
    </row>
    <row r="89" spans="1:27" ht="299.25" hidden="1">
      <c r="A89" s="334" t="s">
        <v>53</v>
      </c>
      <c r="B89" s="335" t="s">
        <v>274</v>
      </c>
      <c r="C89" s="334" t="s">
        <v>319</v>
      </c>
      <c r="D89" s="334" t="s">
        <v>322</v>
      </c>
      <c r="E89" s="348" t="s">
        <v>323</v>
      </c>
      <c r="F89" s="334" t="s">
        <v>2666</v>
      </c>
      <c r="G89" s="334" t="s">
        <v>62</v>
      </c>
      <c r="H89" s="334" t="s">
        <v>324</v>
      </c>
      <c r="I89" s="334" t="s">
        <v>325</v>
      </c>
      <c r="J89" s="334" t="s">
        <v>1191</v>
      </c>
      <c r="K89" s="334" t="s">
        <v>2749</v>
      </c>
      <c r="L89" s="344" t="s">
        <v>2387</v>
      </c>
      <c r="M89" s="334"/>
      <c r="N89" s="334"/>
      <c r="O89" s="345"/>
      <c r="P89" s="334" t="s">
        <v>2750</v>
      </c>
      <c r="Q89" s="340"/>
      <c r="R89" s="349"/>
      <c r="S89" s="334"/>
      <c r="T89" s="334"/>
      <c r="U89" s="334"/>
      <c r="V89" s="334"/>
      <c r="W89" s="334"/>
      <c r="X89" s="334"/>
      <c r="Y89" s="334"/>
      <c r="Z89" s="334"/>
      <c r="AA89" s="334"/>
    </row>
    <row r="90" spans="1:27" ht="141.75" hidden="1">
      <c r="A90" s="334" t="s">
        <v>53</v>
      </c>
      <c r="B90" s="335" t="s">
        <v>274</v>
      </c>
      <c r="C90" s="334" t="s">
        <v>319</v>
      </c>
      <c r="D90" s="334" t="s">
        <v>326</v>
      </c>
      <c r="E90" s="348" t="s">
        <v>327</v>
      </c>
      <c r="F90" s="334" t="s">
        <v>2666</v>
      </c>
      <c r="G90" s="334" t="s">
        <v>62</v>
      </c>
      <c r="H90" s="334" t="s">
        <v>328</v>
      </c>
      <c r="I90" s="343">
        <v>1</v>
      </c>
      <c r="J90" s="334" t="s">
        <v>1090</v>
      </c>
      <c r="K90" s="334" t="s">
        <v>2751</v>
      </c>
      <c r="L90" s="344"/>
      <c r="M90" s="334"/>
      <c r="N90" s="334"/>
      <c r="O90" s="345"/>
      <c r="P90" s="334"/>
      <c r="Q90" s="340"/>
      <c r="R90" s="349"/>
      <c r="S90" s="334"/>
      <c r="T90" s="334"/>
      <c r="U90" s="334"/>
      <c r="V90" s="334"/>
      <c r="W90" s="334"/>
      <c r="X90" s="334"/>
      <c r="Y90" s="334"/>
      <c r="Z90" s="334"/>
      <c r="AA90" s="334"/>
    </row>
    <row r="91" spans="1:27" ht="94.5" hidden="1">
      <c r="A91" s="334" t="s">
        <v>53</v>
      </c>
      <c r="B91" s="335" t="s">
        <v>274</v>
      </c>
      <c r="C91" s="334" t="s">
        <v>319</v>
      </c>
      <c r="D91" s="334" t="s">
        <v>329</v>
      </c>
      <c r="E91" s="334" t="s">
        <v>330</v>
      </c>
      <c r="F91" s="334" t="s">
        <v>2666</v>
      </c>
      <c r="G91" s="334" t="s">
        <v>62</v>
      </c>
      <c r="H91" s="334" t="s">
        <v>182</v>
      </c>
      <c r="I91" s="343">
        <v>1</v>
      </c>
      <c r="J91" s="343" t="s">
        <v>8</v>
      </c>
      <c r="K91" s="343" t="s">
        <v>2752</v>
      </c>
      <c r="L91" s="344"/>
      <c r="M91" s="343"/>
      <c r="N91" s="343"/>
      <c r="O91" s="345"/>
      <c r="P91" s="334"/>
      <c r="Q91" s="346"/>
      <c r="R91" s="347"/>
      <c r="S91" s="343"/>
      <c r="T91" s="343"/>
      <c r="U91" s="343"/>
      <c r="V91" s="343"/>
      <c r="W91" s="343"/>
      <c r="X91" s="343"/>
      <c r="Y91" s="343"/>
      <c r="Z91" s="343"/>
      <c r="AA91" s="334"/>
    </row>
    <row r="92" spans="1:27" ht="220.5" hidden="1">
      <c r="A92" s="334" t="s">
        <v>53</v>
      </c>
      <c r="B92" s="335" t="s">
        <v>274</v>
      </c>
      <c r="C92" s="334" t="s">
        <v>319</v>
      </c>
      <c r="D92" s="334" t="s">
        <v>331</v>
      </c>
      <c r="E92" s="334" t="s">
        <v>2753</v>
      </c>
      <c r="F92" s="334" t="s">
        <v>2666</v>
      </c>
      <c r="G92" s="334" t="s">
        <v>62</v>
      </c>
      <c r="H92" s="334" t="s">
        <v>182</v>
      </c>
      <c r="I92" s="343">
        <v>1</v>
      </c>
      <c r="J92" s="343" t="s">
        <v>1090</v>
      </c>
      <c r="K92" s="343" t="s">
        <v>2754</v>
      </c>
      <c r="L92" s="344"/>
      <c r="M92" s="343"/>
      <c r="N92" s="343"/>
      <c r="O92" s="345"/>
      <c r="P92" s="334"/>
      <c r="Q92" s="346"/>
      <c r="R92" s="347"/>
      <c r="S92" s="343"/>
      <c r="T92" s="343"/>
      <c r="U92" s="343"/>
      <c r="V92" s="343"/>
      <c r="W92" s="343"/>
      <c r="X92" s="343"/>
      <c r="Y92" s="343"/>
      <c r="Z92" s="343"/>
      <c r="AA92" s="334"/>
    </row>
    <row r="93" spans="1:27" ht="63" hidden="1">
      <c r="A93" s="334" t="s">
        <v>53</v>
      </c>
      <c r="B93" s="335" t="s">
        <v>274</v>
      </c>
      <c r="C93" s="334" t="s">
        <v>319</v>
      </c>
      <c r="D93" s="334" t="s">
        <v>333</v>
      </c>
      <c r="E93" s="334" t="s">
        <v>334</v>
      </c>
      <c r="F93" s="334" t="s">
        <v>2666</v>
      </c>
      <c r="G93" s="334" t="s">
        <v>62</v>
      </c>
      <c r="H93" s="334" t="s">
        <v>335</v>
      </c>
      <c r="I93" s="343">
        <v>1</v>
      </c>
      <c r="J93" s="343" t="s">
        <v>8</v>
      </c>
      <c r="K93" s="343"/>
      <c r="L93" s="344"/>
      <c r="M93" s="343"/>
      <c r="N93" s="343"/>
      <c r="O93" s="345"/>
      <c r="P93" s="334" t="s">
        <v>2755</v>
      </c>
      <c r="Q93" s="346"/>
      <c r="R93" s="347"/>
      <c r="S93" s="343"/>
      <c r="T93" s="343"/>
      <c r="U93" s="343"/>
      <c r="V93" s="343"/>
      <c r="W93" s="343"/>
      <c r="X93" s="343"/>
      <c r="Y93" s="343"/>
      <c r="Z93" s="343"/>
      <c r="AA93" s="334"/>
    </row>
    <row r="94" spans="1:27" ht="110.25" hidden="1">
      <c r="A94" s="334" t="s">
        <v>53</v>
      </c>
      <c r="B94" s="335" t="s">
        <v>2756</v>
      </c>
      <c r="C94" s="334" t="s">
        <v>337</v>
      </c>
      <c r="D94" s="334" t="s">
        <v>338</v>
      </c>
      <c r="E94" s="334" t="s">
        <v>339</v>
      </c>
      <c r="F94" s="336"/>
      <c r="G94" s="336" t="s">
        <v>71</v>
      </c>
      <c r="H94" s="336"/>
      <c r="I94" s="336"/>
      <c r="J94" s="336"/>
      <c r="K94" s="336"/>
      <c r="L94" s="338"/>
      <c r="M94" s="336"/>
      <c r="N94" s="336"/>
      <c r="O94" s="339"/>
      <c r="P94" s="336"/>
      <c r="Q94" s="340"/>
      <c r="R94" s="341"/>
      <c r="S94" s="336"/>
      <c r="T94" s="336"/>
      <c r="U94" s="336"/>
      <c r="V94" s="336"/>
      <c r="W94" s="336"/>
      <c r="X94" s="336"/>
      <c r="Y94" s="336"/>
      <c r="Z94" s="336"/>
      <c r="AA94" s="336"/>
    </row>
    <row r="95" spans="1:27" ht="56.25" hidden="1">
      <c r="A95" s="334" t="s">
        <v>53</v>
      </c>
      <c r="B95" s="335" t="s">
        <v>2756</v>
      </c>
      <c r="C95" s="334" t="s">
        <v>337</v>
      </c>
      <c r="D95" s="334" t="s">
        <v>340</v>
      </c>
      <c r="E95" s="348" t="s">
        <v>341</v>
      </c>
      <c r="F95" s="334" t="s">
        <v>2666</v>
      </c>
      <c r="G95" s="334" t="s">
        <v>62</v>
      </c>
      <c r="H95" s="334" t="s">
        <v>342</v>
      </c>
      <c r="I95" s="334" t="s">
        <v>343</v>
      </c>
      <c r="J95" s="334" t="s">
        <v>8</v>
      </c>
      <c r="K95" s="334"/>
      <c r="L95" s="344"/>
      <c r="M95" s="334"/>
      <c r="N95" s="334"/>
      <c r="O95" s="345"/>
      <c r="P95" s="334" t="s">
        <v>2755</v>
      </c>
      <c r="Q95" s="340"/>
      <c r="R95" s="349"/>
      <c r="S95" s="334"/>
      <c r="T95" s="334"/>
      <c r="U95" s="334"/>
      <c r="V95" s="334"/>
      <c r="W95" s="334"/>
      <c r="X95" s="334"/>
      <c r="Y95" s="334"/>
      <c r="Z95" s="334"/>
      <c r="AA95" s="334"/>
    </row>
    <row r="96" spans="1:27" ht="56.25" hidden="1">
      <c r="A96" s="334" t="s">
        <v>53</v>
      </c>
      <c r="B96" s="335" t="s">
        <v>2756</v>
      </c>
      <c r="C96" s="334" t="s">
        <v>337</v>
      </c>
      <c r="D96" s="334" t="s">
        <v>344</v>
      </c>
      <c r="E96" s="348" t="s">
        <v>345</v>
      </c>
      <c r="F96" s="334" t="s">
        <v>2666</v>
      </c>
      <c r="G96" s="334" t="s">
        <v>62</v>
      </c>
      <c r="H96" s="334" t="s">
        <v>346</v>
      </c>
      <c r="I96" s="334" t="s">
        <v>343</v>
      </c>
      <c r="J96" s="334" t="s">
        <v>8</v>
      </c>
      <c r="K96" s="334"/>
      <c r="L96" s="344"/>
      <c r="M96" s="334"/>
      <c r="N96" s="334"/>
      <c r="O96" s="345"/>
      <c r="P96" s="334" t="s">
        <v>2755</v>
      </c>
      <c r="Q96" s="340"/>
      <c r="R96" s="349"/>
      <c r="S96" s="334"/>
      <c r="T96" s="334"/>
      <c r="U96" s="334"/>
      <c r="V96" s="334"/>
      <c r="W96" s="334"/>
      <c r="X96" s="334"/>
      <c r="Y96" s="334"/>
      <c r="Z96" s="334"/>
      <c r="AA96" s="334"/>
    </row>
    <row r="97" spans="1:27" ht="63" hidden="1">
      <c r="A97" s="334" t="s">
        <v>53</v>
      </c>
      <c r="B97" s="335" t="s">
        <v>2756</v>
      </c>
      <c r="C97" s="334" t="s">
        <v>337</v>
      </c>
      <c r="D97" s="334" t="s">
        <v>347</v>
      </c>
      <c r="E97" s="334" t="s">
        <v>348</v>
      </c>
      <c r="F97" s="334"/>
      <c r="G97" s="334" t="s">
        <v>62</v>
      </c>
      <c r="H97" s="334" t="s">
        <v>349</v>
      </c>
      <c r="I97" s="334" t="s">
        <v>110</v>
      </c>
      <c r="J97" s="334" t="s">
        <v>8</v>
      </c>
      <c r="K97" s="334"/>
      <c r="L97" s="344"/>
      <c r="M97" s="334"/>
      <c r="N97" s="334"/>
      <c r="O97" s="345"/>
      <c r="P97" s="334" t="s">
        <v>2755</v>
      </c>
      <c r="Q97" s="340"/>
      <c r="R97" s="349"/>
      <c r="S97" s="334"/>
      <c r="T97" s="334"/>
      <c r="U97" s="334"/>
      <c r="V97" s="334"/>
      <c r="W97" s="334"/>
      <c r="X97" s="334"/>
      <c r="Y97" s="334"/>
      <c r="Z97" s="334"/>
      <c r="AA97" s="334"/>
    </row>
    <row r="98" spans="1:27" ht="56.25" hidden="1">
      <c r="A98" s="334" t="s">
        <v>53</v>
      </c>
      <c r="B98" s="335" t="s">
        <v>2756</v>
      </c>
      <c r="C98" s="334" t="s">
        <v>337</v>
      </c>
      <c r="D98" s="334" t="s">
        <v>350</v>
      </c>
      <c r="E98" s="334" t="s">
        <v>351</v>
      </c>
      <c r="F98" s="336"/>
      <c r="G98" s="336" t="s">
        <v>58</v>
      </c>
      <c r="H98" s="336" t="s">
        <v>352</v>
      </c>
      <c r="I98" s="337">
        <v>1</v>
      </c>
      <c r="J98" s="336"/>
      <c r="K98" s="336"/>
      <c r="L98" s="338"/>
      <c r="M98" s="336"/>
      <c r="N98" s="336"/>
      <c r="O98" s="339"/>
      <c r="P98" s="336"/>
      <c r="Q98" s="340"/>
      <c r="R98" s="341"/>
      <c r="S98" s="336"/>
      <c r="T98" s="336"/>
      <c r="U98" s="336"/>
      <c r="V98" s="336"/>
      <c r="W98" s="336"/>
      <c r="X98" s="336"/>
      <c r="Y98" s="336"/>
      <c r="Z98" s="336"/>
      <c r="AA98" s="336"/>
    </row>
    <row r="99" spans="1:27" ht="56.25" hidden="1">
      <c r="A99" s="334" t="s">
        <v>53</v>
      </c>
      <c r="B99" s="335" t="s">
        <v>2756</v>
      </c>
      <c r="C99" s="334" t="s">
        <v>337</v>
      </c>
      <c r="D99" s="334" t="s">
        <v>353</v>
      </c>
      <c r="E99" s="348" t="s">
        <v>354</v>
      </c>
      <c r="F99" s="334" t="s">
        <v>2666</v>
      </c>
      <c r="G99" s="334" t="s">
        <v>58</v>
      </c>
      <c r="H99" s="334" t="s">
        <v>352</v>
      </c>
      <c r="I99" s="343">
        <v>1</v>
      </c>
      <c r="J99" s="343" t="s">
        <v>8</v>
      </c>
      <c r="K99" s="343"/>
      <c r="L99" s="344"/>
      <c r="M99" s="343"/>
      <c r="N99" s="343"/>
      <c r="O99" s="345"/>
      <c r="P99" s="334" t="s">
        <v>2755</v>
      </c>
      <c r="Q99" s="346"/>
      <c r="R99" s="347"/>
      <c r="S99" s="343"/>
      <c r="T99" s="343"/>
      <c r="U99" s="343"/>
      <c r="V99" s="343"/>
      <c r="W99" s="343"/>
      <c r="X99" s="343"/>
      <c r="Y99" s="343"/>
      <c r="Z99" s="343"/>
      <c r="AA99" s="334"/>
    </row>
    <row r="100" spans="1:27" ht="56.25" hidden="1">
      <c r="A100" s="334" t="s">
        <v>53</v>
      </c>
      <c r="B100" s="335" t="s">
        <v>2756</v>
      </c>
      <c r="C100" s="334" t="s">
        <v>337</v>
      </c>
      <c r="D100" s="334" t="s">
        <v>355</v>
      </c>
      <c r="E100" s="348" t="s">
        <v>356</v>
      </c>
      <c r="F100" s="334" t="s">
        <v>2666</v>
      </c>
      <c r="G100" s="334" t="s">
        <v>58</v>
      </c>
      <c r="H100" s="334" t="s">
        <v>352</v>
      </c>
      <c r="I100" s="343">
        <v>1</v>
      </c>
      <c r="J100" s="343" t="s">
        <v>8</v>
      </c>
      <c r="K100" s="343"/>
      <c r="L100" s="344"/>
      <c r="M100" s="343"/>
      <c r="N100" s="343"/>
      <c r="O100" s="345"/>
      <c r="P100" s="334" t="s">
        <v>2755</v>
      </c>
      <c r="Q100" s="346"/>
      <c r="R100" s="347"/>
      <c r="S100" s="343"/>
      <c r="T100" s="343"/>
      <c r="U100" s="343"/>
      <c r="V100" s="343"/>
      <c r="W100" s="343"/>
      <c r="X100" s="343"/>
      <c r="Y100" s="343"/>
      <c r="Z100" s="343"/>
      <c r="AA100" s="334"/>
    </row>
    <row r="101" spans="1:27" ht="56.25" hidden="1">
      <c r="A101" s="334" t="s">
        <v>53</v>
      </c>
      <c r="B101" s="335" t="s">
        <v>2756</v>
      </c>
      <c r="C101" s="334" t="s">
        <v>337</v>
      </c>
      <c r="D101" s="334" t="s">
        <v>357</v>
      </c>
      <c r="E101" s="348" t="s">
        <v>358</v>
      </c>
      <c r="F101" s="334" t="s">
        <v>2666</v>
      </c>
      <c r="G101" s="334" t="s">
        <v>58</v>
      </c>
      <c r="H101" s="334" t="s">
        <v>352</v>
      </c>
      <c r="I101" s="343">
        <v>1</v>
      </c>
      <c r="J101" s="343" t="s">
        <v>8</v>
      </c>
      <c r="K101" s="343"/>
      <c r="L101" s="344"/>
      <c r="M101" s="343"/>
      <c r="N101" s="343"/>
      <c r="O101" s="345"/>
      <c r="P101" s="334" t="s">
        <v>2755</v>
      </c>
      <c r="Q101" s="346"/>
      <c r="R101" s="347"/>
      <c r="S101" s="343"/>
      <c r="T101" s="343"/>
      <c r="U101" s="343"/>
      <c r="V101" s="343"/>
      <c r="W101" s="343"/>
      <c r="X101" s="343"/>
      <c r="Y101" s="343"/>
      <c r="Z101" s="343"/>
      <c r="AA101" s="334"/>
    </row>
    <row r="102" spans="1:27" ht="56.25" hidden="1">
      <c r="A102" s="334" t="s">
        <v>53</v>
      </c>
      <c r="B102" s="335" t="s">
        <v>2756</v>
      </c>
      <c r="C102" s="334" t="s">
        <v>337</v>
      </c>
      <c r="D102" s="334" t="s">
        <v>359</v>
      </c>
      <c r="E102" s="348" t="s">
        <v>360</v>
      </c>
      <c r="F102" s="334" t="s">
        <v>2666</v>
      </c>
      <c r="G102" s="334" t="s">
        <v>58</v>
      </c>
      <c r="H102" s="334" t="s">
        <v>352</v>
      </c>
      <c r="I102" s="343">
        <v>1</v>
      </c>
      <c r="J102" s="343" t="s">
        <v>8</v>
      </c>
      <c r="K102" s="343"/>
      <c r="L102" s="344"/>
      <c r="M102" s="343"/>
      <c r="N102" s="343"/>
      <c r="O102" s="345"/>
      <c r="P102" s="334" t="s">
        <v>2755</v>
      </c>
      <c r="Q102" s="346"/>
      <c r="R102" s="347"/>
      <c r="S102" s="343"/>
      <c r="T102" s="343"/>
      <c r="U102" s="343"/>
      <c r="V102" s="343"/>
      <c r="W102" s="343"/>
      <c r="X102" s="343"/>
      <c r="Y102" s="343"/>
      <c r="Z102" s="343"/>
      <c r="AA102" s="334"/>
    </row>
    <row r="103" spans="1:27" ht="56.25" hidden="1">
      <c r="A103" s="334" t="s">
        <v>53</v>
      </c>
      <c r="B103" s="335" t="s">
        <v>2756</v>
      </c>
      <c r="C103" s="334" t="s">
        <v>337</v>
      </c>
      <c r="D103" s="334" t="s">
        <v>361</v>
      </c>
      <c r="E103" s="348" t="s">
        <v>362</v>
      </c>
      <c r="F103" s="334" t="s">
        <v>2666</v>
      </c>
      <c r="G103" s="334" t="s">
        <v>58</v>
      </c>
      <c r="H103" s="334" t="s">
        <v>352</v>
      </c>
      <c r="I103" s="343">
        <v>1</v>
      </c>
      <c r="J103" s="343" t="s">
        <v>8</v>
      </c>
      <c r="K103" s="343"/>
      <c r="L103" s="344"/>
      <c r="M103" s="343"/>
      <c r="N103" s="343"/>
      <c r="O103" s="345"/>
      <c r="P103" s="334" t="s">
        <v>2755</v>
      </c>
      <c r="Q103" s="346"/>
      <c r="R103" s="347"/>
      <c r="S103" s="343"/>
      <c r="T103" s="343"/>
      <c r="U103" s="343"/>
      <c r="V103" s="343"/>
      <c r="W103" s="343"/>
      <c r="X103" s="343"/>
      <c r="Y103" s="343"/>
      <c r="Z103" s="343"/>
      <c r="AA103" s="334"/>
    </row>
    <row r="104" spans="1:27" ht="56.25" hidden="1">
      <c r="A104" s="334" t="s">
        <v>53</v>
      </c>
      <c r="B104" s="335" t="s">
        <v>2756</v>
      </c>
      <c r="C104" s="334" t="s">
        <v>337</v>
      </c>
      <c r="D104" s="334" t="s">
        <v>363</v>
      </c>
      <c r="E104" s="348" t="s">
        <v>364</v>
      </c>
      <c r="F104" s="334" t="s">
        <v>2666</v>
      </c>
      <c r="G104" s="334" t="s">
        <v>58</v>
      </c>
      <c r="H104" s="334" t="s">
        <v>352</v>
      </c>
      <c r="I104" s="343">
        <v>1</v>
      </c>
      <c r="J104" s="343" t="s">
        <v>8</v>
      </c>
      <c r="K104" s="343"/>
      <c r="L104" s="344"/>
      <c r="M104" s="343"/>
      <c r="N104" s="343"/>
      <c r="O104" s="345"/>
      <c r="P104" s="334" t="s">
        <v>2755</v>
      </c>
      <c r="Q104" s="346"/>
      <c r="R104" s="347"/>
      <c r="S104" s="343"/>
      <c r="T104" s="343"/>
      <c r="U104" s="343"/>
      <c r="V104" s="343"/>
      <c r="W104" s="343"/>
      <c r="X104" s="343"/>
      <c r="Y104" s="343"/>
      <c r="Z104" s="343"/>
      <c r="AA104" s="334"/>
    </row>
    <row r="105" spans="1:27" ht="56.25" hidden="1">
      <c r="A105" s="334" t="s">
        <v>53</v>
      </c>
      <c r="B105" s="335" t="s">
        <v>2756</v>
      </c>
      <c r="C105" s="334" t="s">
        <v>337</v>
      </c>
      <c r="D105" s="334" t="s">
        <v>365</v>
      </c>
      <c r="E105" s="348" t="s">
        <v>366</v>
      </c>
      <c r="F105" s="334" t="s">
        <v>2666</v>
      </c>
      <c r="G105" s="334" t="s">
        <v>58</v>
      </c>
      <c r="H105" s="334" t="s">
        <v>352</v>
      </c>
      <c r="I105" s="343">
        <v>1</v>
      </c>
      <c r="J105" s="343" t="s">
        <v>8</v>
      </c>
      <c r="K105" s="343"/>
      <c r="L105" s="344"/>
      <c r="M105" s="343"/>
      <c r="N105" s="343"/>
      <c r="O105" s="345"/>
      <c r="P105" s="334" t="s">
        <v>2755</v>
      </c>
      <c r="Q105" s="346"/>
      <c r="R105" s="347"/>
      <c r="S105" s="343"/>
      <c r="T105" s="343"/>
      <c r="U105" s="343"/>
      <c r="V105" s="343"/>
      <c r="W105" s="343"/>
      <c r="X105" s="343"/>
      <c r="Y105" s="343"/>
      <c r="Z105" s="343"/>
      <c r="AA105" s="334"/>
    </row>
    <row r="106" spans="1:27" ht="56.25" hidden="1">
      <c r="A106" s="334" t="s">
        <v>53</v>
      </c>
      <c r="B106" s="335" t="s">
        <v>2756</v>
      </c>
      <c r="C106" s="334" t="s">
        <v>337</v>
      </c>
      <c r="D106" s="334" t="s">
        <v>367</v>
      </c>
      <c r="E106" s="348" t="s">
        <v>368</v>
      </c>
      <c r="F106" s="334" t="s">
        <v>2666</v>
      </c>
      <c r="G106" s="334" t="s">
        <v>58</v>
      </c>
      <c r="H106" s="334" t="s">
        <v>352</v>
      </c>
      <c r="I106" s="343">
        <v>1</v>
      </c>
      <c r="J106" s="343" t="s">
        <v>8</v>
      </c>
      <c r="K106" s="343"/>
      <c r="L106" s="344"/>
      <c r="M106" s="343"/>
      <c r="N106" s="343"/>
      <c r="O106" s="345"/>
      <c r="P106" s="334" t="s">
        <v>2755</v>
      </c>
      <c r="Q106" s="346"/>
      <c r="R106" s="347"/>
      <c r="S106" s="343"/>
      <c r="T106" s="343"/>
      <c r="U106" s="343"/>
      <c r="V106" s="343"/>
      <c r="W106" s="343"/>
      <c r="X106" s="343"/>
      <c r="Y106" s="343"/>
      <c r="Z106" s="343"/>
      <c r="AA106" s="334"/>
    </row>
    <row r="107" spans="1:27" ht="56.25" hidden="1">
      <c r="A107" s="334" t="s">
        <v>53</v>
      </c>
      <c r="B107" s="335" t="s">
        <v>2756</v>
      </c>
      <c r="C107" s="334" t="s">
        <v>337</v>
      </c>
      <c r="D107" s="334" t="s">
        <v>369</v>
      </c>
      <c r="E107" s="348" t="s">
        <v>370</v>
      </c>
      <c r="F107" s="334" t="s">
        <v>2666</v>
      </c>
      <c r="G107" s="334" t="s">
        <v>58</v>
      </c>
      <c r="H107" s="334" t="s">
        <v>352</v>
      </c>
      <c r="I107" s="343">
        <v>1</v>
      </c>
      <c r="J107" s="343" t="s">
        <v>8</v>
      </c>
      <c r="K107" s="343"/>
      <c r="L107" s="344"/>
      <c r="M107" s="343"/>
      <c r="N107" s="343"/>
      <c r="O107" s="345"/>
      <c r="P107" s="334" t="s">
        <v>2755</v>
      </c>
      <c r="Q107" s="346"/>
      <c r="R107" s="347"/>
      <c r="S107" s="343"/>
      <c r="T107" s="343"/>
      <c r="U107" s="343"/>
      <c r="V107" s="343"/>
      <c r="W107" s="343"/>
      <c r="X107" s="343"/>
      <c r="Y107" s="343"/>
      <c r="Z107" s="343"/>
      <c r="AA107" s="334"/>
    </row>
    <row r="108" spans="1:27" ht="56.25" hidden="1">
      <c r="A108" s="334" t="s">
        <v>53</v>
      </c>
      <c r="B108" s="335" t="s">
        <v>2756</v>
      </c>
      <c r="C108" s="334" t="s">
        <v>337</v>
      </c>
      <c r="D108" s="334" t="s">
        <v>371</v>
      </c>
      <c r="E108" s="348" t="s">
        <v>372</v>
      </c>
      <c r="F108" s="334" t="s">
        <v>2666</v>
      </c>
      <c r="G108" s="334" t="s">
        <v>58</v>
      </c>
      <c r="H108" s="334" t="s">
        <v>352</v>
      </c>
      <c r="I108" s="343">
        <v>1</v>
      </c>
      <c r="J108" s="343" t="s">
        <v>8</v>
      </c>
      <c r="K108" s="343"/>
      <c r="L108" s="344"/>
      <c r="M108" s="343"/>
      <c r="N108" s="343"/>
      <c r="O108" s="345"/>
      <c r="P108" s="334" t="s">
        <v>2755</v>
      </c>
      <c r="Q108" s="346"/>
      <c r="R108" s="347"/>
      <c r="S108" s="343"/>
      <c r="T108" s="343"/>
      <c r="U108" s="343"/>
      <c r="V108" s="343"/>
      <c r="W108" s="343"/>
      <c r="X108" s="343"/>
      <c r="Y108" s="343"/>
      <c r="Z108" s="343"/>
      <c r="AA108" s="334"/>
    </row>
    <row r="109" spans="1:27" ht="63" hidden="1">
      <c r="A109" s="334" t="s">
        <v>53</v>
      </c>
      <c r="B109" s="335" t="s">
        <v>2756</v>
      </c>
      <c r="C109" s="334" t="s">
        <v>337</v>
      </c>
      <c r="D109" s="334" t="s">
        <v>373</v>
      </c>
      <c r="E109" s="348" t="s">
        <v>374</v>
      </c>
      <c r="F109" s="334" t="s">
        <v>2757</v>
      </c>
      <c r="G109" s="334" t="s">
        <v>58</v>
      </c>
      <c r="H109" s="334" t="s">
        <v>352</v>
      </c>
      <c r="I109" s="343">
        <v>1</v>
      </c>
      <c r="J109" s="343" t="s">
        <v>1191</v>
      </c>
      <c r="K109" s="343" t="s">
        <v>2758</v>
      </c>
      <c r="L109" s="344"/>
      <c r="M109" s="343"/>
      <c r="N109" s="343"/>
      <c r="O109" s="345"/>
      <c r="P109" s="334"/>
      <c r="Q109" s="346"/>
      <c r="R109" s="347"/>
      <c r="S109" s="343"/>
      <c r="T109" s="343"/>
      <c r="U109" s="343"/>
      <c r="V109" s="343"/>
      <c r="W109" s="343"/>
      <c r="X109" s="343"/>
      <c r="Y109" s="343"/>
      <c r="Z109" s="343"/>
      <c r="AA109" s="334"/>
    </row>
    <row r="110" spans="1:27" ht="63" hidden="1">
      <c r="A110" s="334" t="s">
        <v>53</v>
      </c>
      <c r="B110" s="335" t="s">
        <v>2756</v>
      </c>
      <c r="C110" s="334" t="s">
        <v>337</v>
      </c>
      <c r="D110" s="334" t="s">
        <v>375</v>
      </c>
      <c r="E110" s="348" t="s">
        <v>376</v>
      </c>
      <c r="F110" s="334" t="s">
        <v>2757</v>
      </c>
      <c r="G110" s="334" t="s">
        <v>58</v>
      </c>
      <c r="H110" s="334" t="s">
        <v>352</v>
      </c>
      <c r="I110" s="343">
        <v>1</v>
      </c>
      <c r="J110" s="343" t="s">
        <v>1191</v>
      </c>
      <c r="K110" s="343" t="s">
        <v>2759</v>
      </c>
      <c r="L110" s="344"/>
      <c r="M110" s="343"/>
      <c r="N110" s="343"/>
      <c r="O110" s="345"/>
      <c r="P110" s="334" t="s">
        <v>2760</v>
      </c>
      <c r="Q110" s="346"/>
      <c r="R110" s="347"/>
      <c r="S110" s="343"/>
      <c r="T110" s="343"/>
      <c r="U110" s="343"/>
      <c r="V110" s="343"/>
      <c r="W110" s="343"/>
      <c r="X110" s="343"/>
      <c r="Y110" s="343"/>
      <c r="Z110" s="343"/>
      <c r="AA110" s="334"/>
    </row>
    <row r="111" spans="1:27" ht="56.25" hidden="1">
      <c r="A111" s="334" t="s">
        <v>53</v>
      </c>
      <c r="B111" s="335" t="s">
        <v>2756</v>
      </c>
      <c r="C111" s="334" t="s">
        <v>337</v>
      </c>
      <c r="D111" s="334" t="s">
        <v>377</v>
      </c>
      <c r="E111" s="348" t="s">
        <v>378</v>
      </c>
      <c r="F111" s="334" t="s">
        <v>2757</v>
      </c>
      <c r="G111" s="334" t="s">
        <v>58</v>
      </c>
      <c r="H111" s="334" t="s">
        <v>352</v>
      </c>
      <c r="I111" s="343">
        <v>1</v>
      </c>
      <c r="J111" s="343" t="s">
        <v>1191</v>
      </c>
      <c r="K111" s="343" t="s">
        <v>2761</v>
      </c>
      <c r="L111" s="344"/>
      <c r="M111" s="343"/>
      <c r="N111" s="343"/>
      <c r="O111" s="345"/>
      <c r="P111" s="334" t="s">
        <v>2760</v>
      </c>
      <c r="Q111" s="346"/>
      <c r="R111" s="347"/>
      <c r="S111" s="343"/>
      <c r="T111" s="343"/>
      <c r="U111" s="343"/>
      <c r="V111" s="343"/>
      <c r="W111" s="343"/>
      <c r="X111" s="343"/>
      <c r="Y111" s="343"/>
      <c r="Z111" s="343"/>
      <c r="AA111" s="334"/>
    </row>
    <row r="112" spans="1:27" ht="56.25" hidden="1">
      <c r="A112" s="334" t="s">
        <v>53</v>
      </c>
      <c r="B112" s="335" t="s">
        <v>2756</v>
      </c>
      <c r="C112" s="334" t="s">
        <v>337</v>
      </c>
      <c r="D112" s="334" t="s">
        <v>379</v>
      </c>
      <c r="E112" s="348" t="s">
        <v>380</v>
      </c>
      <c r="F112" s="334" t="s">
        <v>2757</v>
      </c>
      <c r="G112" s="334" t="s">
        <v>58</v>
      </c>
      <c r="H112" s="334" t="s">
        <v>352</v>
      </c>
      <c r="I112" s="343">
        <v>1</v>
      </c>
      <c r="J112" s="343" t="s">
        <v>1191</v>
      </c>
      <c r="K112" s="343" t="s">
        <v>2762</v>
      </c>
      <c r="L112" s="344"/>
      <c r="M112" s="343"/>
      <c r="N112" s="343"/>
      <c r="O112" s="345"/>
      <c r="P112" s="334" t="s">
        <v>2760</v>
      </c>
      <c r="Q112" s="346"/>
      <c r="R112" s="347"/>
      <c r="S112" s="343"/>
      <c r="T112" s="343"/>
      <c r="U112" s="343"/>
      <c r="V112" s="343"/>
      <c r="W112" s="343"/>
      <c r="X112" s="343"/>
      <c r="Y112" s="343"/>
      <c r="Z112" s="343"/>
      <c r="AA112" s="334"/>
    </row>
    <row r="113" spans="1:27" ht="56.25" hidden="1">
      <c r="A113" s="334" t="s">
        <v>53</v>
      </c>
      <c r="B113" s="335" t="s">
        <v>2756</v>
      </c>
      <c r="C113" s="334" t="s">
        <v>337</v>
      </c>
      <c r="D113" s="334" t="s">
        <v>381</v>
      </c>
      <c r="E113" s="348" t="s">
        <v>382</v>
      </c>
      <c r="F113" s="334" t="s">
        <v>2763</v>
      </c>
      <c r="G113" s="334" t="s">
        <v>58</v>
      </c>
      <c r="H113" s="334" t="s">
        <v>352</v>
      </c>
      <c r="I113" s="343">
        <v>1</v>
      </c>
      <c r="J113" s="343" t="s">
        <v>1191</v>
      </c>
      <c r="K113" s="343" t="s">
        <v>2762</v>
      </c>
      <c r="L113" s="344"/>
      <c r="M113" s="343"/>
      <c r="N113" s="343"/>
      <c r="O113" s="345"/>
      <c r="P113" s="334" t="s">
        <v>2760</v>
      </c>
      <c r="Q113" s="346"/>
      <c r="R113" s="347"/>
      <c r="S113" s="343"/>
      <c r="T113" s="343"/>
      <c r="U113" s="343"/>
      <c r="V113" s="343"/>
      <c r="W113" s="343"/>
      <c r="X113" s="343"/>
      <c r="Y113" s="343"/>
      <c r="Z113" s="343"/>
      <c r="AA113" s="334"/>
    </row>
    <row r="114" spans="1:27" ht="56.25" hidden="1">
      <c r="A114" s="334" t="s">
        <v>53</v>
      </c>
      <c r="B114" s="335" t="s">
        <v>2756</v>
      </c>
      <c r="C114" s="334" t="s">
        <v>337</v>
      </c>
      <c r="D114" s="334" t="s">
        <v>383</v>
      </c>
      <c r="E114" s="348" t="s">
        <v>384</v>
      </c>
      <c r="F114" s="334" t="s">
        <v>2757</v>
      </c>
      <c r="G114" s="334" t="s">
        <v>58</v>
      </c>
      <c r="H114" s="334" t="s">
        <v>352</v>
      </c>
      <c r="I114" s="343">
        <v>1</v>
      </c>
      <c r="J114" s="343" t="s">
        <v>8</v>
      </c>
      <c r="K114" s="343"/>
      <c r="L114" s="344"/>
      <c r="M114" s="343"/>
      <c r="N114" s="343"/>
      <c r="O114" s="345"/>
      <c r="P114" s="334" t="s">
        <v>2755</v>
      </c>
      <c r="Q114" s="346"/>
      <c r="R114" s="347"/>
      <c r="S114" s="343"/>
      <c r="T114" s="343"/>
      <c r="U114" s="343"/>
      <c r="V114" s="343"/>
      <c r="W114" s="343"/>
      <c r="X114" s="343"/>
      <c r="Y114" s="343"/>
      <c r="Z114" s="343"/>
      <c r="AA114" s="334"/>
    </row>
    <row r="115" spans="1:27" ht="56.25" hidden="1">
      <c r="A115" s="334" t="s">
        <v>53</v>
      </c>
      <c r="B115" s="335" t="s">
        <v>2756</v>
      </c>
      <c r="C115" s="334" t="s">
        <v>337</v>
      </c>
      <c r="D115" s="334" t="s">
        <v>385</v>
      </c>
      <c r="E115" s="348" t="s">
        <v>386</v>
      </c>
      <c r="F115" s="334" t="s">
        <v>2666</v>
      </c>
      <c r="G115" s="334" t="s">
        <v>58</v>
      </c>
      <c r="H115" s="334" t="s">
        <v>352</v>
      </c>
      <c r="I115" s="343">
        <v>1</v>
      </c>
      <c r="J115" s="343" t="s">
        <v>8</v>
      </c>
      <c r="K115" s="343"/>
      <c r="L115" s="344"/>
      <c r="M115" s="343"/>
      <c r="N115" s="343"/>
      <c r="O115" s="345"/>
      <c r="P115" s="334" t="s">
        <v>2755</v>
      </c>
      <c r="Q115" s="346"/>
      <c r="R115" s="347"/>
      <c r="S115" s="343"/>
      <c r="T115" s="343"/>
      <c r="U115" s="343"/>
      <c r="V115" s="343"/>
      <c r="W115" s="343"/>
      <c r="X115" s="343"/>
      <c r="Y115" s="343"/>
      <c r="Z115" s="343"/>
      <c r="AA115" s="334"/>
    </row>
    <row r="116" spans="1:27" ht="56.25" hidden="1">
      <c r="A116" s="334" t="s">
        <v>53</v>
      </c>
      <c r="B116" s="335" t="s">
        <v>2756</v>
      </c>
      <c r="C116" s="334" t="s">
        <v>337</v>
      </c>
      <c r="D116" s="334" t="s">
        <v>387</v>
      </c>
      <c r="E116" s="348" t="s">
        <v>388</v>
      </c>
      <c r="F116" s="334" t="s">
        <v>2763</v>
      </c>
      <c r="G116" s="334" t="s">
        <v>58</v>
      </c>
      <c r="H116" s="334" t="s">
        <v>352</v>
      </c>
      <c r="I116" s="343">
        <v>1</v>
      </c>
      <c r="J116" s="343" t="s">
        <v>8</v>
      </c>
      <c r="K116" s="343"/>
      <c r="L116" s="344"/>
      <c r="M116" s="343"/>
      <c r="N116" s="343"/>
      <c r="O116" s="345"/>
      <c r="P116" s="334" t="s">
        <v>2755</v>
      </c>
      <c r="Q116" s="346"/>
      <c r="R116" s="347"/>
      <c r="S116" s="343"/>
      <c r="T116" s="343"/>
      <c r="U116" s="343"/>
      <c r="V116" s="343"/>
      <c r="W116" s="343"/>
      <c r="X116" s="343"/>
      <c r="Y116" s="343"/>
      <c r="Z116" s="343"/>
      <c r="AA116" s="334"/>
    </row>
    <row r="117" spans="1:27" ht="56.25" hidden="1">
      <c r="A117" s="334" t="s">
        <v>53</v>
      </c>
      <c r="B117" s="335" t="s">
        <v>2756</v>
      </c>
      <c r="C117" s="334" t="s">
        <v>337</v>
      </c>
      <c r="D117" s="334" t="s">
        <v>389</v>
      </c>
      <c r="E117" s="348" t="s">
        <v>390</v>
      </c>
      <c r="F117" s="334" t="s">
        <v>2666</v>
      </c>
      <c r="G117" s="334" t="s">
        <v>58</v>
      </c>
      <c r="H117" s="334" t="s">
        <v>352</v>
      </c>
      <c r="I117" s="343">
        <v>1</v>
      </c>
      <c r="J117" s="343" t="s">
        <v>8</v>
      </c>
      <c r="K117" s="343"/>
      <c r="L117" s="344"/>
      <c r="M117" s="343"/>
      <c r="N117" s="343"/>
      <c r="O117" s="345"/>
      <c r="P117" s="334" t="s">
        <v>2755</v>
      </c>
      <c r="Q117" s="346"/>
      <c r="R117" s="347"/>
      <c r="S117" s="343"/>
      <c r="T117" s="343"/>
      <c r="U117" s="343"/>
      <c r="V117" s="343"/>
      <c r="W117" s="343"/>
      <c r="X117" s="343"/>
      <c r="Y117" s="343"/>
      <c r="Z117" s="343"/>
      <c r="AA117" s="334"/>
    </row>
    <row r="118" spans="1:27" ht="110.25" hidden="1">
      <c r="A118" s="334" t="s">
        <v>53</v>
      </c>
      <c r="B118" s="335" t="s">
        <v>2756</v>
      </c>
      <c r="C118" s="334" t="s">
        <v>337</v>
      </c>
      <c r="D118" s="334" t="s">
        <v>391</v>
      </c>
      <c r="E118" s="348" t="s">
        <v>392</v>
      </c>
      <c r="F118" s="334" t="s">
        <v>2666</v>
      </c>
      <c r="G118" s="334" t="s">
        <v>58</v>
      </c>
      <c r="H118" s="334" t="s">
        <v>352</v>
      </c>
      <c r="I118" s="343">
        <v>1</v>
      </c>
      <c r="J118" s="343" t="s">
        <v>1090</v>
      </c>
      <c r="K118" s="343" t="s">
        <v>2764</v>
      </c>
      <c r="L118" s="344" t="s">
        <v>1380</v>
      </c>
      <c r="M118" s="343"/>
      <c r="N118" s="343"/>
      <c r="O118" s="345"/>
      <c r="P118" s="334" t="s">
        <v>2765</v>
      </c>
      <c r="Q118" s="346"/>
      <c r="R118" s="347"/>
      <c r="S118" s="343"/>
      <c r="T118" s="343"/>
      <c r="U118" s="343"/>
      <c r="V118" s="343"/>
      <c r="W118" s="343"/>
      <c r="X118" s="343"/>
      <c r="Y118" s="343"/>
      <c r="Z118" s="343"/>
      <c r="AA118" s="334"/>
    </row>
    <row r="119" spans="1:27" ht="56.25" hidden="1">
      <c r="A119" s="334" t="s">
        <v>53</v>
      </c>
      <c r="B119" s="335" t="s">
        <v>2756</v>
      </c>
      <c r="C119" s="334" t="s">
        <v>337</v>
      </c>
      <c r="D119" s="334" t="s">
        <v>393</v>
      </c>
      <c r="E119" s="348" t="s">
        <v>394</v>
      </c>
      <c r="F119" s="334" t="s">
        <v>2666</v>
      </c>
      <c r="G119" s="334" t="s">
        <v>58</v>
      </c>
      <c r="H119" s="334" t="s">
        <v>352</v>
      </c>
      <c r="I119" s="343">
        <v>1</v>
      </c>
      <c r="J119" s="343" t="s">
        <v>8</v>
      </c>
      <c r="K119" s="343"/>
      <c r="L119" s="344"/>
      <c r="M119" s="343"/>
      <c r="N119" s="343"/>
      <c r="O119" s="345"/>
      <c r="P119" s="334" t="s">
        <v>2755</v>
      </c>
      <c r="Q119" s="346"/>
      <c r="R119" s="347"/>
      <c r="S119" s="343"/>
      <c r="T119" s="343"/>
      <c r="U119" s="343"/>
      <c r="V119" s="343"/>
      <c r="W119" s="343"/>
      <c r="X119" s="343"/>
      <c r="Y119" s="343"/>
      <c r="Z119" s="343"/>
      <c r="AA119" s="334"/>
    </row>
    <row r="120" spans="1:27" ht="78.75" hidden="1">
      <c r="A120" s="334" t="s">
        <v>53</v>
      </c>
      <c r="B120" s="335" t="s">
        <v>2756</v>
      </c>
      <c r="C120" s="334" t="s">
        <v>337</v>
      </c>
      <c r="D120" s="334" t="s">
        <v>395</v>
      </c>
      <c r="E120" s="348" t="s">
        <v>396</v>
      </c>
      <c r="F120" s="334" t="s">
        <v>2666</v>
      </c>
      <c r="G120" s="334" t="s">
        <v>58</v>
      </c>
      <c r="H120" s="334" t="s">
        <v>352</v>
      </c>
      <c r="I120" s="343">
        <v>1</v>
      </c>
      <c r="J120" s="343" t="s">
        <v>1191</v>
      </c>
      <c r="K120" s="343" t="s">
        <v>2766</v>
      </c>
      <c r="L120" s="344" t="s">
        <v>1380</v>
      </c>
      <c r="M120" s="343"/>
      <c r="N120" s="343"/>
      <c r="O120" s="345"/>
      <c r="P120" s="334"/>
      <c r="Q120" s="346"/>
      <c r="R120" s="347"/>
      <c r="S120" s="343"/>
      <c r="T120" s="343"/>
      <c r="U120" s="343"/>
      <c r="V120" s="343"/>
      <c r="W120" s="343"/>
      <c r="X120" s="343"/>
      <c r="Y120" s="343"/>
      <c r="Z120" s="343"/>
      <c r="AA120" s="334"/>
    </row>
    <row r="121" spans="1:27" ht="56.25" hidden="1">
      <c r="A121" s="334" t="s">
        <v>53</v>
      </c>
      <c r="B121" s="335" t="s">
        <v>2756</v>
      </c>
      <c r="C121" s="334" t="s">
        <v>337</v>
      </c>
      <c r="D121" s="334" t="s">
        <v>397</v>
      </c>
      <c r="E121" s="348" t="s">
        <v>398</v>
      </c>
      <c r="F121" s="334" t="s">
        <v>2666</v>
      </c>
      <c r="G121" s="334" t="s">
        <v>58</v>
      </c>
      <c r="H121" s="334" t="s">
        <v>352</v>
      </c>
      <c r="I121" s="343">
        <v>1</v>
      </c>
      <c r="J121" s="343" t="s">
        <v>8</v>
      </c>
      <c r="K121" s="343"/>
      <c r="L121" s="344"/>
      <c r="M121" s="343"/>
      <c r="N121" s="343"/>
      <c r="O121" s="345"/>
      <c r="P121" s="334" t="s">
        <v>2755</v>
      </c>
      <c r="Q121" s="346"/>
      <c r="R121" s="347"/>
      <c r="S121" s="343"/>
      <c r="T121" s="343"/>
      <c r="U121" s="343"/>
      <c r="V121" s="343"/>
      <c r="W121" s="343"/>
      <c r="X121" s="343"/>
      <c r="Y121" s="343"/>
      <c r="Z121" s="343"/>
      <c r="AA121" s="334"/>
    </row>
    <row r="122" spans="1:27" ht="78.75" hidden="1">
      <c r="A122" s="334" t="s">
        <v>53</v>
      </c>
      <c r="B122" s="335" t="s">
        <v>2756</v>
      </c>
      <c r="C122" s="334" t="s">
        <v>337</v>
      </c>
      <c r="D122" s="334" t="s">
        <v>399</v>
      </c>
      <c r="E122" s="348" t="s">
        <v>400</v>
      </c>
      <c r="F122" s="334" t="s">
        <v>2666</v>
      </c>
      <c r="G122" s="334" t="s">
        <v>58</v>
      </c>
      <c r="H122" s="334" t="s">
        <v>352</v>
      </c>
      <c r="I122" s="343">
        <v>1</v>
      </c>
      <c r="J122" s="343" t="s">
        <v>1090</v>
      </c>
      <c r="K122" s="343" t="s">
        <v>2767</v>
      </c>
      <c r="L122" s="344"/>
      <c r="M122" s="343"/>
      <c r="N122" s="343"/>
      <c r="O122" s="345"/>
      <c r="P122" s="334"/>
      <c r="Q122" s="346"/>
      <c r="R122" s="347"/>
      <c r="S122" s="343"/>
      <c r="T122" s="343"/>
      <c r="U122" s="343"/>
      <c r="V122" s="343"/>
      <c r="W122" s="343"/>
      <c r="X122" s="343"/>
      <c r="Y122" s="343"/>
      <c r="Z122" s="343"/>
      <c r="AA122" s="334"/>
    </row>
    <row r="123" spans="1:27" ht="63" hidden="1">
      <c r="A123" s="334" t="s">
        <v>53</v>
      </c>
      <c r="B123" s="335" t="s">
        <v>2756</v>
      </c>
      <c r="C123" s="334" t="s">
        <v>337</v>
      </c>
      <c r="D123" s="334" t="s">
        <v>401</v>
      </c>
      <c r="E123" s="348" t="s">
        <v>402</v>
      </c>
      <c r="F123" s="334" t="s">
        <v>2768</v>
      </c>
      <c r="G123" s="334" t="s">
        <v>58</v>
      </c>
      <c r="H123" s="334" t="s">
        <v>352</v>
      </c>
      <c r="I123" s="343">
        <v>1</v>
      </c>
      <c r="J123" s="343" t="s">
        <v>8</v>
      </c>
      <c r="K123" s="343"/>
      <c r="L123" s="344"/>
      <c r="M123" s="343"/>
      <c r="N123" s="343"/>
      <c r="O123" s="345"/>
      <c r="P123" s="334" t="s">
        <v>2755</v>
      </c>
      <c r="Q123" s="346"/>
      <c r="R123" s="347"/>
      <c r="S123" s="343"/>
      <c r="T123" s="343"/>
      <c r="U123" s="343"/>
      <c r="V123" s="343"/>
      <c r="W123" s="343"/>
      <c r="X123" s="343"/>
      <c r="Y123" s="343"/>
      <c r="Z123" s="343"/>
      <c r="AA123" s="334"/>
    </row>
    <row r="124" spans="1:27" ht="78.75" hidden="1">
      <c r="A124" s="334" t="s">
        <v>53</v>
      </c>
      <c r="B124" s="335" t="s">
        <v>2756</v>
      </c>
      <c r="C124" s="334" t="s">
        <v>337</v>
      </c>
      <c r="D124" s="334" t="s">
        <v>403</v>
      </c>
      <c r="E124" s="348" t="s">
        <v>404</v>
      </c>
      <c r="F124" s="334" t="s">
        <v>2666</v>
      </c>
      <c r="G124" s="334" t="s">
        <v>58</v>
      </c>
      <c r="H124" s="334" t="s">
        <v>352</v>
      </c>
      <c r="I124" s="343">
        <v>1</v>
      </c>
      <c r="J124" s="343" t="s">
        <v>8</v>
      </c>
      <c r="K124" s="343"/>
      <c r="L124" s="344"/>
      <c r="M124" s="343"/>
      <c r="N124" s="343"/>
      <c r="O124" s="345"/>
      <c r="P124" s="334" t="s">
        <v>2755</v>
      </c>
      <c r="Q124" s="346"/>
      <c r="R124" s="347"/>
      <c r="S124" s="343"/>
      <c r="T124" s="343"/>
      <c r="U124" s="343"/>
      <c r="V124" s="343"/>
      <c r="W124" s="343"/>
      <c r="X124" s="343"/>
      <c r="Y124" s="343"/>
      <c r="Z124" s="343"/>
      <c r="AA124" s="334"/>
    </row>
    <row r="125" spans="1:27" ht="56.25" hidden="1">
      <c r="A125" s="334" t="s">
        <v>53</v>
      </c>
      <c r="B125" s="335" t="s">
        <v>2756</v>
      </c>
      <c r="C125" s="334" t="s">
        <v>337</v>
      </c>
      <c r="D125" s="334" t="s">
        <v>405</v>
      </c>
      <c r="E125" s="348" t="s">
        <v>406</v>
      </c>
      <c r="F125" s="334" t="s">
        <v>2666</v>
      </c>
      <c r="G125" s="334" t="s">
        <v>58</v>
      </c>
      <c r="H125" s="334" t="s">
        <v>352</v>
      </c>
      <c r="I125" s="343">
        <v>1</v>
      </c>
      <c r="J125" s="343" t="s">
        <v>8</v>
      </c>
      <c r="K125" s="343"/>
      <c r="L125" s="344"/>
      <c r="M125" s="343"/>
      <c r="N125" s="343"/>
      <c r="O125" s="345"/>
      <c r="P125" s="334" t="s">
        <v>2755</v>
      </c>
      <c r="Q125" s="346"/>
      <c r="R125" s="347"/>
      <c r="S125" s="343"/>
      <c r="T125" s="343"/>
      <c r="U125" s="343"/>
      <c r="V125" s="343"/>
      <c r="W125" s="343"/>
      <c r="X125" s="343"/>
      <c r="Y125" s="343"/>
      <c r="Z125" s="343"/>
      <c r="AA125" s="334"/>
    </row>
    <row r="126" spans="1:27" ht="63" hidden="1">
      <c r="A126" s="334" t="s">
        <v>53</v>
      </c>
      <c r="B126" s="335" t="s">
        <v>2756</v>
      </c>
      <c r="C126" s="334" t="s">
        <v>337</v>
      </c>
      <c r="D126" s="334" t="s">
        <v>407</v>
      </c>
      <c r="E126" s="348" t="s">
        <v>408</v>
      </c>
      <c r="F126" s="334" t="s">
        <v>2666</v>
      </c>
      <c r="G126" s="334" t="s">
        <v>58</v>
      </c>
      <c r="H126" s="334" t="s">
        <v>352</v>
      </c>
      <c r="I126" s="343">
        <v>1</v>
      </c>
      <c r="J126" s="343" t="s">
        <v>1090</v>
      </c>
      <c r="K126" s="343" t="s">
        <v>2769</v>
      </c>
      <c r="L126" s="344"/>
      <c r="M126" s="343"/>
      <c r="N126" s="343"/>
      <c r="O126" s="345"/>
      <c r="P126" s="334" t="s">
        <v>2770</v>
      </c>
      <c r="Q126" s="346"/>
      <c r="R126" s="347"/>
      <c r="S126" s="343"/>
      <c r="T126" s="343"/>
      <c r="U126" s="343"/>
      <c r="V126" s="343"/>
      <c r="W126" s="343"/>
      <c r="X126" s="343"/>
      <c r="Y126" s="343"/>
      <c r="Z126" s="343"/>
      <c r="AA126" s="334"/>
    </row>
    <row r="127" spans="1:27" ht="56.25" hidden="1">
      <c r="A127" s="334" t="s">
        <v>53</v>
      </c>
      <c r="B127" s="335" t="s">
        <v>2756</v>
      </c>
      <c r="C127" s="334" t="s">
        <v>337</v>
      </c>
      <c r="D127" s="334" t="s">
        <v>409</v>
      </c>
      <c r="E127" s="348" t="s">
        <v>410</v>
      </c>
      <c r="F127" s="334" t="s">
        <v>2757</v>
      </c>
      <c r="G127" s="334" t="s">
        <v>58</v>
      </c>
      <c r="H127" s="334" t="s">
        <v>352</v>
      </c>
      <c r="I127" s="343">
        <v>1</v>
      </c>
      <c r="J127" s="343" t="s">
        <v>8</v>
      </c>
      <c r="K127" s="343"/>
      <c r="L127" s="344"/>
      <c r="M127" s="343"/>
      <c r="N127" s="343"/>
      <c r="O127" s="345"/>
      <c r="P127" s="334" t="s">
        <v>2755</v>
      </c>
      <c r="Q127" s="346"/>
      <c r="R127" s="347"/>
      <c r="S127" s="343"/>
      <c r="T127" s="343"/>
      <c r="U127" s="343"/>
      <c r="V127" s="343"/>
      <c r="W127" s="343"/>
      <c r="X127" s="343"/>
      <c r="Y127" s="343"/>
      <c r="Z127" s="343"/>
      <c r="AA127" s="334"/>
    </row>
    <row r="128" spans="1:27" ht="56.25" hidden="1">
      <c r="A128" s="334" t="s">
        <v>53</v>
      </c>
      <c r="B128" s="335" t="s">
        <v>2756</v>
      </c>
      <c r="C128" s="334" t="s">
        <v>337</v>
      </c>
      <c r="D128" s="334" t="s">
        <v>411</v>
      </c>
      <c r="E128" s="348" t="s">
        <v>412</v>
      </c>
      <c r="F128" s="334" t="s">
        <v>2666</v>
      </c>
      <c r="G128" s="334" t="s">
        <v>58</v>
      </c>
      <c r="H128" s="334" t="s">
        <v>352</v>
      </c>
      <c r="I128" s="343">
        <v>1</v>
      </c>
      <c r="J128" s="343" t="s">
        <v>8</v>
      </c>
      <c r="K128" s="343"/>
      <c r="L128" s="344"/>
      <c r="M128" s="343"/>
      <c r="N128" s="343"/>
      <c r="O128" s="345"/>
      <c r="P128" s="334" t="s">
        <v>2755</v>
      </c>
      <c r="Q128" s="346"/>
      <c r="R128" s="347"/>
      <c r="S128" s="343"/>
      <c r="T128" s="343"/>
      <c r="U128" s="343"/>
      <c r="V128" s="343"/>
      <c r="W128" s="343"/>
      <c r="X128" s="343"/>
      <c r="Y128" s="343"/>
      <c r="Z128" s="343"/>
      <c r="AA128" s="334"/>
    </row>
    <row r="129" spans="1:27" ht="345.75" hidden="1" customHeight="1">
      <c r="A129" s="334" t="s">
        <v>53</v>
      </c>
      <c r="B129" s="335" t="s">
        <v>2756</v>
      </c>
      <c r="C129" s="334" t="s">
        <v>413</v>
      </c>
      <c r="D129" s="334" t="s">
        <v>414</v>
      </c>
      <c r="E129" s="334" t="s">
        <v>415</v>
      </c>
      <c r="F129" s="334" t="s">
        <v>2666</v>
      </c>
      <c r="G129" s="334" t="s">
        <v>62</v>
      </c>
      <c r="H129" s="334" t="s">
        <v>416</v>
      </c>
      <c r="I129" s="334">
        <v>6</v>
      </c>
      <c r="J129" s="334" t="s">
        <v>8</v>
      </c>
      <c r="K129" s="334"/>
      <c r="L129" s="344"/>
      <c r="M129" s="334"/>
      <c r="N129" s="334"/>
      <c r="O129" s="345"/>
      <c r="P129" s="334" t="s">
        <v>2755</v>
      </c>
      <c r="Q129" s="340"/>
      <c r="R129" s="349"/>
      <c r="S129" s="334"/>
      <c r="T129" s="334"/>
      <c r="U129" s="334"/>
      <c r="V129" s="334"/>
      <c r="W129" s="334"/>
      <c r="X129" s="334"/>
      <c r="Y129" s="334"/>
      <c r="Z129" s="334"/>
      <c r="AA129" s="334"/>
    </row>
    <row r="130" spans="1:27" ht="63" hidden="1">
      <c r="A130" s="334" t="s">
        <v>53</v>
      </c>
      <c r="B130" s="335" t="s">
        <v>2756</v>
      </c>
      <c r="C130" s="334" t="s">
        <v>413</v>
      </c>
      <c r="D130" s="334" t="s">
        <v>417</v>
      </c>
      <c r="E130" s="334" t="s">
        <v>418</v>
      </c>
      <c r="F130" s="334" t="s">
        <v>2676</v>
      </c>
      <c r="G130" s="334" t="s">
        <v>62</v>
      </c>
      <c r="H130" s="334" t="s">
        <v>419</v>
      </c>
      <c r="I130" s="334" t="s">
        <v>420</v>
      </c>
      <c r="J130" s="334" t="s">
        <v>8</v>
      </c>
      <c r="K130" s="334"/>
      <c r="L130" s="344"/>
      <c r="M130" s="334"/>
      <c r="N130" s="334"/>
      <c r="O130" s="345"/>
      <c r="P130" s="334" t="s">
        <v>2755</v>
      </c>
      <c r="Q130" s="340"/>
      <c r="R130" s="349"/>
      <c r="S130" s="334"/>
      <c r="T130" s="334"/>
      <c r="U130" s="334"/>
      <c r="V130" s="334"/>
      <c r="W130" s="334"/>
      <c r="X130" s="334"/>
      <c r="Y130" s="334"/>
      <c r="Z130" s="334"/>
      <c r="AA130" s="334"/>
    </row>
    <row r="131" spans="1:27" ht="63" hidden="1">
      <c r="A131" s="334" t="s">
        <v>53</v>
      </c>
      <c r="B131" s="335" t="s">
        <v>2756</v>
      </c>
      <c r="C131" s="334" t="s">
        <v>413</v>
      </c>
      <c r="D131" s="334" t="s">
        <v>421</v>
      </c>
      <c r="E131" s="334" t="s">
        <v>422</v>
      </c>
      <c r="F131" s="336"/>
      <c r="G131" s="336" t="s">
        <v>58</v>
      </c>
      <c r="H131" s="336"/>
      <c r="I131" s="337"/>
      <c r="J131" s="336"/>
      <c r="K131" s="336"/>
      <c r="L131" s="338"/>
      <c r="M131" s="336"/>
      <c r="N131" s="336"/>
      <c r="O131" s="339"/>
      <c r="P131" s="336"/>
      <c r="Q131" s="340"/>
      <c r="R131" s="341"/>
      <c r="S131" s="336"/>
      <c r="T131" s="336"/>
      <c r="U131" s="336"/>
      <c r="V131" s="336"/>
      <c r="W131" s="336"/>
      <c r="X131" s="336"/>
      <c r="Y131" s="336"/>
      <c r="Z131" s="336"/>
      <c r="AA131" s="336"/>
    </row>
    <row r="132" spans="1:27" ht="63" hidden="1">
      <c r="A132" s="334" t="s">
        <v>53</v>
      </c>
      <c r="B132" s="335" t="s">
        <v>2756</v>
      </c>
      <c r="C132" s="334" t="s">
        <v>413</v>
      </c>
      <c r="D132" s="334" t="s">
        <v>423</v>
      </c>
      <c r="E132" s="348" t="s">
        <v>424</v>
      </c>
      <c r="F132" s="334" t="s">
        <v>2763</v>
      </c>
      <c r="G132" s="334" t="s">
        <v>58</v>
      </c>
      <c r="H132" s="334" t="s">
        <v>425</v>
      </c>
      <c r="I132" s="334" t="s">
        <v>210</v>
      </c>
      <c r="J132" s="334" t="s">
        <v>1191</v>
      </c>
      <c r="K132" s="334" t="s">
        <v>2771</v>
      </c>
      <c r="L132" s="344" t="s">
        <v>1380</v>
      </c>
      <c r="M132" s="334"/>
      <c r="N132" s="334"/>
      <c r="O132" s="345"/>
      <c r="P132" s="334"/>
      <c r="Q132" s="340"/>
      <c r="R132" s="349"/>
      <c r="S132" s="334"/>
      <c r="T132" s="334"/>
      <c r="U132" s="334"/>
      <c r="V132" s="334"/>
      <c r="W132" s="334"/>
      <c r="X132" s="334"/>
      <c r="Y132" s="334"/>
      <c r="Z132" s="334"/>
      <c r="AA132" s="334"/>
    </row>
    <row r="133" spans="1:27" ht="63" hidden="1">
      <c r="A133" s="334" t="s">
        <v>53</v>
      </c>
      <c r="B133" s="335" t="s">
        <v>2756</v>
      </c>
      <c r="C133" s="334" t="s">
        <v>413</v>
      </c>
      <c r="D133" s="334" t="s">
        <v>426</v>
      </c>
      <c r="E133" s="348" t="s">
        <v>427</v>
      </c>
      <c r="F133" s="334" t="s">
        <v>2763</v>
      </c>
      <c r="G133" s="334" t="s">
        <v>58</v>
      </c>
      <c r="H133" s="334" t="s">
        <v>428</v>
      </c>
      <c r="I133" s="334" t="s">
        <v>210</v>
      </c>
      <c r="J133" s="334" t="s">
        <v>8</v>
      </c>
      <c r="K133" s="334"/>
      <c r="L133" s="344"/>
      <c r="M133" s="334"/>
      <c r="N133" s="334"/>
      <c r="O133" s="345"/>
      <c r="P133" s="334" t="s">
        <v>2755</v>
      </c>
      <c r="Q133" s="340"/>
      <c r="R133" s="349"/>
      <c r="S133" s="334"/>
      <c r="T133" s="334"/>
      <c r="U133" s="334"/>
      <c r="V133" s="334"/>
      <c r="W133" s="334"/>
      <c r="X133" s="334"/>
      <c r="Y133" s="334"/>
      <c r="Z133" s="334"/>
      <c r="AA133" s="334"/>
    </row>
    <row r="134" spans="1:27" ht="78.75" hidden="1">
      <c r="A134" s="334" t="s">
        <v>53</v>
      </c>
      <c r="B134" s="335" t="s">
        <v>2756</v>
      </c>
      <c r="C134" s="334" t="s">
        <v>429</v>
      </c>
      <c r="D134" s="334" t="s">
        <v>430</v>
      </c>
      <c r="E134" s="334" t="s">
        <v>431</v>
      </c>
      <c r="F134" s="334"/>
      <c r="G134" s="334" t="s">
        <v>71</v>
      </c>
      <c r="H134" s="334" t="s">
        <v>432</v>
      </c>
      <c r="I134" s="334">
        <v>2030</v>
      </c>
      <c r="J134" s="334"/>
      <c r="K134" s="334"/>
      <c r="L134" s="344"/>
      <c r="M134" s="334"/>
      <c r="N134" s="334"/>
      <c r="O134" s="345"/>
      <c r="P134" s="334"/>
      <c r="Q134" s="340"/>
      <c r="R134" s="349"/>
      <c r="S134" s="334"/>
      <c r="T134" s="334"/>
      <c r="U134" s="334"/>
      <c r="V134" s="334"/>
      <c r="W134" s="334"/>
      <c r="X134" s="334"/>
      <c r="Y134" s="334"/>
      <c r="Z134" s="334"/>
      <c r="AA134" s="334"/>
    </row>
    <row r="135" spans="1:27" ht="78.75" hidden="1">
      <c r="A135" s="334" t="s">
        <v>53</v>
      </c>
      <c r="B135" s="335" t="s">
        <v>2756</v>
      </c>
      <c r="C135" s="334" t="s">
        <v>429</v>
      </c>
      <c r="D135" s="334" t="s">
        <v>433</v>
      </c>
      <c r="E135" s="334" t="s">
        <v>434</v>
      </c>
      <c r="F135" s="336"/>
      <c r="G135" s="336" t="s">
        <v>58</v>
      </c>
      <c r="H135" s="336" t="s">
        <v>435</v>
      </c>
      <c r="I135" s="337" t="s">
        <v>210</v>
      </c>
      <c r="J135" s="336"/>
      <c r="K135" s="336"/>
      <c r="L135" s="338"/>
      <c r="M135" s="336"/>
      <c r="N135" s="336"/>
      <c r="O135" s="339"/>
      <c r="P135" s="336"/>
      <c r="Q135" s="340"/>
      <c r="R135" s="341"/>
      <c r="S135" s="336"/>
      <c r="T135" s="336"/>
      <c r="U135" s="336"/>
      <c r="V135" s="336"/>
      <c r="W135" s="336"/>
      <c r="X135" s="336"/>
      <c r="Y135" s="336"/>
      <c r="Z135" s="336"/>
      <c r="AA135" s="336"/>
    </row>
    <row r="136" spans="1:27" ht="78.75" hidden="1">
      <c r="A136" s="334" t="s">
        <v>53</v>
      </c>
      <c r="B136" s="335" t="s">
        <v>2756</v>
      </c>
      <c r="C136" s="334" t="s">
        <v>429</v>
      </c>
      <c r="D136" s="334" t="s">
        <v>436</v>
      </c>
      <c r="E136" s="348" t="s">
        <v>437</v>
      </c>
      <c r="F136" s="334" t="s">
        <v>2676</v>
      </c>
      <c r="G136" s="334" t="s">
        <v>58</v>
      </c>
      <c r="H136" s="334" t="s">
        <v>435</v>
      </c>
      <c r="I136" s="334" t="s">
        <v>210</v>
      </c>
      <c r="J136" s="334" t="s">
        <v>8</v>
      </c>
      <c r="K136" s="334"/>
      <c r="L136" s="344"/>
      <c r="M136" s="334"/>
      <c r="N136" s="334"/>
      <c r="O136" s="345"/>
      <c r="P136" s="334" t="s">
        <v>2755</v>
      </c>
      <c r="Q136" s="340"/>
      <c r="R136" s="349"/>
      <c r="S136" s="334"/>
      <c r="T136" s="334"/>
      <c r="U136" s="334"/>
      <c r="V136" s="334"/>
      <c r="W136" s="334"/>
      <c r="X136" s="334"/>
      <c r="Y136" s="334"/>
      <c r="Z136" s="334"/>
      <c r="AA136" s="334"/>
    </row>
    <row r="137" spans="1:27" ht="78.75" hidden="1">
      <c r="A137" s="334" t="s">
        <v>53</v>
      </c>
      <c r="B137" s="335" t="s">
        <v>2756</v>
      </c>
      <c r="C137" s="334" t="s">
        <v>429</v>
      </c>
      <c r="D137" s="334" t="s">
        <v>438</v>
      </c>
      <c r="E137" s="348" t="s">
        <v>439</v>
      </c>
      <c r="F137" s="334" t="s">
        <v>2666</v>
      </c>
      <c r="G137" s="334" t="s">
        <v>58</v>
      </c>
      <c r="H137" s="334" t="s">
        <v>435</v>
      </c>
      <c r="I137" s="334" t="s">
        <v>210</v>
      </c>
      <c r="J137" s="334" t="s">
        <v>8</v>
      </c>
      <c r="K137" s="334"/>
      <c r="L137" s="344"/>
      <c r="M137" s="334"/>
      <c r="N137" s="334"/>
      <c r="O137" s="345"/>
      <c r="P137" s="334" t="s">
        <v>2755</v>
      </c>
      <c r="Q137" s="340"/>
      <c r="R137" s="349"/>
      <c r="S137" s="334"/>
      <c r="T137" s="334"/>
      <c r="U137" s="334"/>
      <c r="V137" s="334"/>
      <c r="W137" s="334"/>
      <c r="X137" s="334"/>
      <c r="Y137" s="334"/>
      <c r="Z137" s="334"/>
      <c r="AA137" s="334"/>
    </row>
    <row r="138" spans="1:27" ht="78.75" hidden="1">
      <c r="A138" s="334" t="s">
        <v>53</v>
      </c>
      <c r="B138" s="335" t="s">
        <v>2756</v>
      </c>
      <c r="C138" s="334" t="s">
        <v>429</v>
      </c>
      <c r="D138" s="334" t="s">
        <v>440</v>
      </c>
      <c r="E138" s="348" t="s">
        <v>441</v>
      </c>
      <c r="F138" s="334" t="s">
        <v>2666</v>
      </c>
      <c r="G138" s="334" t="s">
        <v>58</v>
      </c>
      <c r="H138" s="334" t="s">
        <v>435</v>
      </c>
      <c r="I138" s="334" t="s">
        <v>210</v>
      </c>
      <c r="J138" s="334" t="s">
        <v>8</v>
      </c>
      <c r="K138" s="334"/>
      <c r="L138" s="344"/>
      <c r="M138" s="334"/>
      <c r="N138" s="334"/>
      <c r="O138" s="345"/>
      <c r="P138" s="334" t="s">
        <v>2755</v>
      </c>
      <c r="Q138" s="340"/>
      <c r="R138" s="349"/>
      <c r="S138" s="334"/>
      <c r="T138" s="334"/>
      <c r="U138" s="334"/>
      <c r="V138" s="334"/>
      <c r="W138" s="334"/>
      <c r="X138" s="334"/>
      <c r="Y138" s="334"/>
      <c r="Z138" s="334"/>
      <c r="AA138" s="334"/>
    </row>
    <row r="139" spans="1:27" ht="78.75" hidden="1">
      <c r="A139" s="334" t="s">
        <v>53</v>
      </c>
      <c r="B139" s="335" t="s">
        <v>2756</v>
      </c>
      <c r="C139" s="334" t="s">
        <v>429</v>
      </c>
      <c r="D139" s="334" t="s">
        <v>442</v>
      </c>
      <c r="E139" s="348" t="s">
        <v>443</v>
      </c>
      <c r="F139" s="334" t="s">
        <v>2666</v>
      </c>
      <c r="G139" s="334" t="s">
        <v>58</v>
      </c>
      <c r="H139" s="334" t="s">
        <v>435</v>
      </c>
      <c r="I139" s="334" t="s">
        <v>210</v>
      </c>
      <c r="J139" s="334" t="s">
        <v>8</v>
      </c>
      <c r="K139" s="334"/>
      <c r="L139" s="344"/>
      <c r="M139" s="334"/>
      <c r="N139" s="334"/>
      <c r="O139" s="345"/>
      <c r="P139" s="334" t="s">
        <v>2755</v>
      </c>
      <c r="Q139" s="340"/>
      <c r="R139" s="349"/>
      <c r="S139" s="334"/>
      <c r="T139" s="334"/>
      <c r="U139" s="334"/>
      <c r="V139" s="334"/>
      <c r="W139" s="334"/>
      <c r="X139" s="334"/>
      <c r="Y139" s="334"/>
      <c r="Z139" s="334"/>
      <c r="AA139" s="334"/>
    </row>
    <row r="140" spans="1:27" ht="78.75" hidden="1">
      <c r="A140" s="334" t="s">
        <v>53</v>
      </c>
      <c r="B140" s="335" t="s">
        <v>2756</v>
      </c>
      <c r="C140" s="334" t="s">
        <v>429</v>
      </c>
      <c r="D140" s="334" t="s">
        <v>444</v>
      </c>
      <c r="E140" s="348" t="s">
        <v>445</v>
      </c>
      <c r="F140" s="334" t="s">
        <v>2666</v>
      </c>
      <c r="G140" s="334" t="s">
        <v>58</v>
      </c>
      <c r="H140" s="334" t="s">
        <v>435</v>
      </c>
      <c r="I140" s="334" t="s">
        <v>210</v>
      </c>
      <c r="J140" s="334" t="s">
        <v>8</v>
      </c>
      <c r="K140" s="334"/>
      <c r="L140" s="344"/>
      <c r="M140" s="334"/>
      <c r="N140" s="334"/>
      <c r="O140" s="345"/>
      <c r="P140" s="334" t="s">
        <v>2755</v>
      </c>
      <c r="Q140" s="340"/>
      <c r="R140" s="349"/>
      <c r="S140" s="334"/>
      <c r="T140" s="334"/>
      <c r="U140" s="334"/>
      <c r="V140" s="334"/>
      <c r="W140" s="334"/>
      <c r="X140" s="334"/>
      <c r="Y140" s="334"/>
      <c r="Z140" s="334"/>
      <c r="AA140" s="334"/>
    </row>
    <row r="141" spans="1:27" ht="78.75" hidden="1">
      <c r="A141" s="334" t="s">
        <v>53</v>
      </c>
      <c r="B141" s="335" t="s">
        <v>2756</v>
      </c>
      <c r="C141" s="334" t="s">
        <v>429</v>
      </c>
      <c r="D141" s="334" t="s">
        <v>446</v>
      </c>
      <c r="E141" s="348" t="s">
        <v>447</v>
      </c>
      <c r="F141" s="334" t="s">
        <v>2666</v>
      </c>
      <c r="G141" s="334" t="s">
        <v>58</v>
      </c>
      <c r="H141" s="334" t="s">
        <v>435</v>
      </c>
      <c r="I141" s="334" t="s">
        <v>210</v>
      </c>
      <c r="J141" s="334" t="s">
        <v>8</v>
      </c>
      <c r="K141" s="334"/>
      <c r="L141" s="344"/>
      <c r="M141" s="334"/>
      <c r="N141" s="334"/>
      <c r="O141" s="345"/>
      <c r="P141" s="334" t="s">
        <v>2755</v>
      </c>
      <c r="Q141" s="340"/>
      <c r="R141" s="349"/>
      <c r="S141" s="334"/>
      <c r="T141" s="334"/>
      <c r="U141" s="334"/>
      <c r="V141" s="334"/>
      <c r="W141" s="334"/>
      <c r="X141" s="334"/>
      <c r="Y141" s="334"/>
      <c r="Z141" s="334"/>
      <c r="AA141" s="334"/>
    </row>
    <row r="142" spans="1:27" ht="78.75" hidden="1">
      <c r="A142" s="334" t="s">
        <v>53</v>
      </c>
      <c r="B142" s="335" t="s">
        <v>2756</v>
      </c>
      <c r="C142" s="334" t="s">
        <v>429</v>
      </c>
      <c r="D142" s="334" t="s">
        <v>448</v>
      </c>
      <c r="E142" s="334" t="s">
        <v>449</v>
      </c>
      <c r="F142" s="336"/>
      <c r="G142" s="336" t="s">
        <v>58</v>
      </c>
      <c r="H142" s="336" t="s">
        <v>450</v>
      </c>
      <c r="I142" s="337" t="s">
        <v>210</v>
      </c>
      <c r="J142" s="336"/>
      <c r="K142" s="336"/>
      <c r="L142" s="338"/>
      <c r="M142" s="336"/>
      <c r="N142" s="336"/>
      <c r="O142" s="339"/>
      <c r="P142" s="336"/>
      <c r="Q142" s="340"/>
      <c r="R142" s="341"/>
      <c r="S142" s="336"/>
      <c r="T142" s="336"/>
      <c r="U142" s="336"/>
      <c r="V142" s="336"/>
      <c r="W142" s="336"/>
      <c r="X142" s="336"/>
      <c r="Y142" s="336"/>
      <c r="Z142" s="336"/>
      <c r="AA142" s="336"/>
    </row>
    <row r="143" spans="1:27" ht="78.75" hidden="1">
      <c r="A143" s="334" t="s">
        <v>53</v>
      </c>
      <c r="B143" s="335" t="s">
        <v>2756</v>
      </c>
      <c r="C143" s="334" t="s">
        <v>429</v>
      </c>
      <c r="D143" s="334" t="s">
        <v>451</v>
      </c>
      <c r="E143" s="348" t="s">
        <v>452</v>
      </c>
      <c r="F143" s="334" t="s">
        <v>2666</v>
      </c>
      <c r="G143" s="334" t="s">
        <v>58</v>
      </c>
      <c r="H143" s="334" t="s">
        <v>450</v>
      </c>
      <c r="I143" s="334" t="s">
        <v>210</v>
      </c>
      <c r="J143" s="334" t="s">
        <v>8</v>
      </c>
      <c r="K143" s="334"/>
      <c r="L143" s="344"/>
      <c r="M143" s="334"/>
      <c r="N143" s="334"/>
      <c r="O143" s="345"/>
      <c r="P143" s="334" t="s">
        <v>2755</v>
      </c>
      <c r="Q143" s="340"/>
      <c r="R143" s="349"/>
      <c r="S143" s="334"/>
      <c r="T143" s="334"/>
      <c r="U143" s="334"/>
      <c r="V143" s="334"/>
      <c r="W143" s="334"/>
      <c r="X143" s="334"/>
      <c r="Y143" s="334"/>
      <c r="Z143" s="334"/>
      <c r="AA143" s="334"/>
    </row>
    <row r="144" spans="1:27" ht="78.75" hidden="1">
      <c r="A144" s="334" t="s">
        <v>53</v>
      </c>
      <c r="B144" s="335" t="s">
        <v>2756</v>
      </c>
      <c r="C144" s="334" t="s">
        <v>429</v>
      </c>
      <c r="D144" s="334" t="s">
        <v>453</v>
      </c>
      <c r="E144" s="348" t="s">
        <v>454</v>
      </c>
      <c r="F144" s="334" t="s">
        <v>2666</v>
      </c>
      <c r="G144" s="334" t="s">
        <v>58</v>
      </c>
      <c r="H144" s="334" t="s">
        <v>450</v>
      </c>
      <c r="I144" s="334" t="s">
        <v>210</v>
      </c>
      <c r="J144" s="334" t="s">
        <v>8</v>
      </c>
      <c r="K144" s="334"/>
      <c r="L144" s="344"/>
      <c r="M144" s="334"/>
      <c r="N144" s="334"/>
      <c r="O144" s="345"/>
      <c r="P144" s="334" t="s">
        <v>2755</v>
      </c>
      <c r="Q144" s="340"/>
      <c r="R144" s="349"/>
      <c r="S144" s="334"/>
      <c r="T144" s="334"/>
      <c r="U144" s="334"/>
      <c r="V144" s="334"/>
      <c r="W144" s="334"/>
      <c r="X144" s="334"/>
      <c r="Y144" s="334"/>
      <c r="Z144" s="334"/>
      <c r="AA144" s="334"/>
    </row>
    <row r="145" spans="1:27" ht="78.75" hidden="1">
      <c r="A145" s="334" t="s">
        <v>53</v>
      </c>
      <c r="B145" s="335" t="s">
        <v>2756</v>
      </c>
      <c r="C145" s="334" t="s">
        <v>429</v>
      </c>
      <c r="D145" s="334" t="s">
        <v>455</v>
      </c>
      <c r="E145" s="348" t="s">
        <v>456</v>
      </c>
      <c r="F145" s="334" t="s">
        <v>2666</v>
      </c>
      <c r="G145" s="334" t="s">
        <v>58</v>
      </c>
      <c r="H145" s="334" t="s">
        <v>450</v>
      </c>
      <c r="I145" s="334" t="s">
        <v>210</v>
      </c>
      <c r="J145" s="334" t="s">
        <v>1090</v>
      </c>
      <c r="K145" s="334" t="s">
        <v>2772</v>
      </c>
      <c r="L145" s="344"/>
      <c r="M145" s="334"/>
      <c r="N145" s="334"/>
      <c r="O145" s="345"/>
      <c r="P145" s="334"/>
      <c r="Q145" s="340"/>
      <c r="R145" s="349"/>
      <c r="S145" s="334"/>
      <c r="T145" s="334"/>
      <c r="U145" s="334"/>
      <c r="V145" s="334"/>
      <c r="W145" s="334"/>
      <c r="X145" s="334"/>
      <c r="Y145" s="334"/>
      <c r="Z145" s="334"/>
      <c r="AA145" s="334"/>
    </row>
    <row r="146" spans="1:27" ht="94.5" hidden="1">
      <c r="A146" s="334" t="s">
        <v>53</v>
      </c>
      <c r="B146" s="335" t="s">
        <v>2756</v>
      </c>
      <c r="C146" s="334" t="s">
        <v>429</v>
      </c>
      <c r="D146" s="334" t="s">
        <v>457</v>
      </c>
      <c r="E146" s="348" t="s">
        <v>458</v>
      </c>
      <c r="F146" s="334" t="s">
        <v>2666</v>
      </c>
      <c r="G146" s="334" t="s">
        <v>58</v>
      </c>
      <c r="H146" s="334" t="s">
        <v>450</v>
      </c>
      <c r="I146" s="334" t="s">
        <v>210</v>
      </c>
      <c r="J146" s="334" t="s">
        <v>1090</v>
      </c>
      <c r="K146" s="334" t="s">
        <v>2773</v>
      </c>
      <c r="L146" s="344"/>
      <c r="M146" s="334"/>
      <c r="N146" s="334"/>
      <c r="O146" s="345"/>
      <c r="P146" s="334"/>
      <c r="Q146" s="340"/>
      <c r="R146" s="349"/>
      <c r="S146" s="334"/>
      <c r="T146" s="334"/>
      <c r="U146" s="334"/>
      <c r="V146" s="334"/>
      <c r="W146" s="334"/>
      <c r="X146" s="334"/>
      <c r="Y146" s="334"/>
      <c r="Z146" s="334"/>
      <c r="AA146" s="334"/>
    </row>
    <row r="147" spans="1:27" ht="78.75" hidden="1">
      <c r="A147" s="334" t="s">
        <v>53</v>
      </c>
      <c r="B147" s="335" t="s">
        <v>2756</v>
      </c>
      <c r="C147" s="334" t="s">
        <v>429</v>
      </c>
      <c r="D147" s="334" t="s">
        <v>459</v>
      </c>
      <c r="E147" s="348" t="s">
        <v>460</v>
      </c>
      <c r="F147" s="334" t="s">
        <v>2666</v>
      </c>
      <c r="G147" s="334" t="s">
        <v>58</v>
      </c>
      <c r="H147" s="334" t="s">
        <v>450</v>
      </c>
      <c r="I147" s="334" t="s">
        <v>210</v>
      </c>
      <c r="J147" s="334" t="s">
        <v>8</v>
      </c>
      <c r="K147" s="334"/>
      <c r="L147" s="344"/>
      <c r="M147" s="334"/>
      <c r="N147" s="334"/>
      <c r="O147" s="345"/>
      <c r="P147" s="334" t="s">
        <v>2755</v>
      </c>
      <c r="Q147" s="340"/>
      <c r="R147" s="349"/>
      <c r="S147" s="334"/>
      <c r="T147" s="334"/>
      <c r="U147" s="334"/>
      <c r="V147" s="334"/>
      <c r="W147" s="334"/>
      <c r="X147" s="334"/>
      <c r="Y147" s="334"/>
      <c r="Z147" s="334"/>
      <c r="AA147" s="334"/>
    </row>
    <row r="148" spans="1:27" ht="78.75" hidden="1">
      <c r="A148" s="334" t="s">
        <v>53</v>
      </c>
      <c r="B148" s="335" t="s">
        <v>2756</v>
      </c>
      <c r="C148" s="334" t="s">
        <v>429</v>
      </c>
      <c r="D148" s="334" t="s">
        <v>461</v>
      </c>
      <c r="E148" s="348" t="s">
        <v>462</v>
      </c>
      <c r="F148" s="334" t="s">
        <v>2658</v>
      </c>
      <c r="G148" s="334" t="s">
        <v>58</v>
      </c>
      <c r="H148" s="334" t="s">
        <v>450</v>
      </c>
      <c r="I148" s="334" t="s">
        <v>210</v>
      </c>
      <c r="J148" s="334" t="s">
        <v>1090</v>
      </c>
      <c r="K148" s="334" t="s">
        <v>2774</v>
      </c>
      <c r="L148" s="344"/>
      <c r="M148" s="334"/>
      <c r="N148" s="334"/>
      <c r="O148" s="345"/>
      <c r="P148" s="334" t="s">
        <v>2775</v>
      </c>
      <c r="Q148" s="340"/>
      <c r="R148" s="349"/>
      <c r="S148" s="334"/>
      <c r="T148" s="334"/>
      <c r="U148" s="334"/>
      <c r="V148" s="334"/>
      <c r="W148" s="334"/>
      <c r="X148" s="334"/>
      <c r="Y148" s="334"/>
      <c r="Z148" s="334"/>
      <c r="AA148" s="334"/>
    </row>
    <row r="149" spans="1:27" ht="78.75" hidden="1">
      <c r="A149" s="334" t="s">
        <v>53</v>
      </c>
      <c r="B149" s="335" t="s">
        <v>2756</v>
      </c>
      <c r="C149" s="334" t="s">
        <v>429</v>
      </c>
      <c r="D149" s="334" t="s">
        <v>463</v>
      </c>
      <c r="E149" s="348" t="s">
        <v>464</v>
      </c>
      <c r="F149" s="334" t="s">
        <v>2666</v>
      </c>
      <c r="G149" s="334" t="s">
        <v>58</v>
      </c>
      <c r="H149" s="334" t="s">
        <v>450</v>
      </c>
      <c r="I149" s="334" t="s">
        <v>210</v>
      </c>
      <c r="J149" s="334" t="s">
        <v>8</v>
      </c>
      <c r="K149" s="334"/>
      <c r="L149" s="344"/>
      <c r="M149" s="334"/>
      <c r="N149" s="334"/>
      <c r="O149" s="345"/>
      <c r="P149" s="334" t="s">
        <v>2755</v>
      </c>
      <c r="Q149" s="340"/>
      <c r="R149" s="349"/>
      <c r="S149" s="334"/>
      <c r="T149" s="334"/>
      <c r="U149" s="334"/>
      <c r="V149" s="334"/>
      <c r="W149" s="334"/>
      <c r="X149" s="334"/>
      <c r="Y149" s="334"/>
      <c r="Z149" s="334"/>
      <c r="AA149" s="334"/>
    </row>
    <row r="150" spans="1:27" ht="78.75" hidden="1">
      <c r="A150" s="334" t="s">
        <v>53</v>
      </c>
      <c r="B150" s="335" t="s">
        <v>2756</v>
      </c>
      <c r="C150" s="334" t="s">
        <v>429</v>
      </c>
      <c r="D150" s="334" t="s">
        <v>465</v>
      </c>
      <c r="E150" s="348" t="s">
        <v>466</v>
      </c>
      <c r="F150" s="334" t="s">
        <v>2658</v>
      </c>
      <c r="G150" s="334" t="s">
        <v>58</v>
      </c>
      <c r="H150" s="334" t="s">
        <v>450</v>
      </c>
      <c r="I150" s="334" t="s">
        <v>210</v>
      </c>
      <c r="J150" s="334" t="s">
        <v>1090</v>
      </c>
      <c r="K150" s="334" t="s">
        <v>2776</v>
      </c>
      <c r="L150" s="344"/>
      <c r="M150" s="334"/>
      <c r="N150" s="334"/>
      <c r="O150" s="345"/>
      <c r="P150" s="334"/>
      <c r="Q150" s="340"/>
      <c r="R150" s="349"/>
      <c r="S150" s="334"/>
      <c r="T150" s="334"/>
      <c r="U150" s="334"/>
      <c r="V150" s="334"/>
      <c r="W150" s="334"/>
      <c r="X150" s="334"/>
      <c r="Y150" s="334"/>
      <c r="Z150" s="334"/>
      <c r="AA150" s="334"/>
    </row>
    <row r="151" spans="1:27" ht="78.75" hidden="1">
      <c r="A151" s="334" t="s">
        <v>53</v>
      </c>
      <c r="B151" s="335" t="s">
        <v>2756</v>
      </c>
      <c r="C151" s="334" t="s">
        <v>429</v>
      </c>
      <c r="D151" s="334" t="s">
        <v>467</v>
      </c>
      <c r="E151" s="334" t="s">
        <v>468</v>
      </c>
      <c r="F151" s="334" t="s">
        <v>2666</v>
      </c>
      <c r="G151" s="334" t="s">
        <v>58</v>
      </c>
      <c r="H151" s="334" t="s">
        <v>469</v>
      </c>
      <c r="I151" s="334" t="s">
        <v>210</v>
      </c>
      <c r="J151" s="334" t="s">
        <v>8</v>
      </c>
      <c r="K151" s="334"/>
      <c r="L151" s="344"/>
      <c r="M151" s="334"/>
      <c r="N151" s="334"/>
      <c r="O151" s="345"/>
      <c r="P151" s="334" t="s">
        <v>2755</v>
      </c>
      <c r="Q151" s="340"/>
      <c r="R151" s="349"/>
      <c r="S151" s="334"/>
      <c r="T151" s="334"/>
      <c r="U151" s="334"/>
      <c r="V151" s="334"/>
      <c r="W151" s="334"/>
      <c r="X151" s="334"/>
      <c r="Y151" s="334"/>
      <c r="Z151" s="334"/>
      <c r="AA151" s="334"/>
    </row>
    <row r="152" spans="1:27" ht="78.75" hidden="1">
      <c r="A152" s="334" t="s">
        <v>53</v>
      </c>
      <c r="B152" s="335" t="s">
        <v>2756</v>
      </c>
      <c r="C152" s="334" t="s">
        <v>429</v>
      </c>
      <c r="D152" s="334" t="s">
        <v>470</v>
      </c>
      <c r="E152" s="334" t="s">
        <v>471</v>
      </c>
      <c r="F152" s="334"/>
      <c r="G152" s="334" t="s">
        <v>71</v>
      </c>
      <c r="H152" s="334" t="s">
        <v>472</v>
      </c>
      <c r="I152" s="334">
        <v>1</v>
      </c>
      <c r="J152" s="334"/>
      <c r="K152" s="334"/>
      <c r="L152" s="344"/>
      <c r="M152" s="334"/>
      <c r="N152" s="334"/>
      <c r="O152" s="345"/>
      <c r="P152" s="334"/>
      <c r="Q152" s="340"/>
      <c r="R152" s="349"/>
      <c r="S152" s="334"/>
      <c r="T152" s="334"/>
      <c r="U152" s="334"/>
      <c r="V152" s="334"/>
      <c r="W152" s="334"/>
      <c r="X152" s="334"/>
      <c r="Y152" s="334"/>
      <c r="Z152" s="334"/>
      <c r="AA152" s="334"/>
    </row>
    <row r="153" spans="1:27" ht="78.75" hidden="1">
      <c r="A153" s="334" t="s">
        <v>53</v>
      </c>
      <c r="B153" s="335" t="s">
        <v>2756</v>
      </c>
      <c r="C153" s="334" t="s">
        <v>473</v>
      </c>
      <c r="D153" s="334" t="s">
        <v>474</v>
      </c>
      <c r="E153" s="334" t="s">
        <v>475</v>
      </c>
      <c r="F153" s="334" t="s">
        <v>2666</v>
      </c>
      <c r="G153" s="334" t="s">
        <v>62</v>
      </c>
      <c r="H153" s="334" t="s">
        <v>476</v>
      </c>
      <c r="I153" s="334" t="s">
        <v>210</v>
      </c>
      <c r="J153" s="334" t="s">
        <v>8</v>
      </c>
      <c r="K153" s="334"/>
      <c r="L153" s="344"/>
      <c r="M153" s="334"/>
      <c r="N153" s="334"/>
      <c r="O153" s="345"/>
      <c r="P153" s="334" t="s">
        <v>2755</v>
      </c>
      <c r="Q153" s="340"/>
      <c r="R153" s="349"/>
      <c r="S153" s="334"/>
      <c r="T153" s="334"/>
      <c r="U153" s="334"/>
      <c r="V153" s="334"/>
      <c r="W153" s="334"/>
      <c r="X153" s="334"/>
      <c r="Y153" s="334"/>
      <c r="Z153" s="334"/>
      <c r="AA153" s="334"/>
    </row>
    <row r="154" spans="1:27" ht="409.5" hidden="1">
      <c r="A154" s="334" t="s">
        <v>53</v>
      </c>
      <c r="B154" s="335" t="s">
        <v>2756</v>
      </c>
      <c r="C154" s="334" t="s">
        <v>473</v>
      </c>
      <c r="D154" s="334" t="s">
        <v>477</v>
      </c>
      <c r="E154" s="334" t="s">
        <v>478</v>
      </c>
      <c r="F154" s="334" t="s">
        <v>2777</v>
      </c>
      <c r="G154" s="334" t="s">
        <v>62</v>
      </c>
      <c r="H154" s="334" t="s">
        <v>479</v>
      </c>
      <c r="I154" s="334" t="s">
        <v>210</v>
      </c>
      <c r="J154" s="334" t="s">
        <v>1191</v>
      </c>
      <c r="K154" s="334" t="s">
        <v>2778</v>
      </c>
      <c r="L154" s="344" t="s">
        <v>2779</v>
      </c>
      <c r="M154" s="334"/>
      <c r="N154" s="334"/>
      <c r="O154" s="345"/>
      <c r="P154" s="334" t="s">
        <v>2780</v>
      </c>
      <c r="Q154" s="340"/>
      <c r="R154" s="349"/>
      <c r="S154" s="334"/>
      <c r="T154" s="334"/>
      <c r="U154" s="334"/>
      <c r="V154" s="334"/>
      <c r="W154" s="334"/>
      <c r="X154" s="334"/>
      <c r="Y154" s="334"/>
      <c r="Z154" s="334"/>
      <c r="AA154" s="334"/>
    </row>
    <row r="155" spans="1:27" hidden="1">
      <c r="A155" s="382" t="s">
        <v>480</v>
      </c>
      <c r="B155" s="383"/>
      <c r="C155" s="384"/>
      <c r="D155" s="384"/>
      <c r="E155" s="384"/>
      <c r="F155" s="384"/>
      <c r="G155" s="384"/>
      <c r="H155" s="384"/>
      <c r="I155" s="384"/>
      <c r="J155" s="384"/>
      <c r="K155" s="384"/>
      <c r="L155" s="384"/>
      <c r="M155" s="384"/>
      <c r="N155" s="384"/>
      <c r="O155" s="384"/>
      <c r="P155" s="385"/>
      <c r="Q155" s="386"/>
      <c r="R155" s="387"/>
      <c r="S155" s="384"/>
      <c r="T155" s="384"/>
      <c r="U155" s="384"/>
      <c r="V155" s="384"/>
      <c r="W155" s="384"/>
      <c r="X155" s="384"/>
      <c r="Y155" s="384"/>
      <c r="Z155" s="384"/>
      <c r="AA155" s="384"/>
    </row>
    <row r="156" spans="1:27" ht="157.5" hidden="1">
      <c r="A156" s="334" t="s">
        <v>16</v>
      </c>
      <c r="B156" s="335" t="s">
        <v>54</v>
      </c>
      <c r="C156" s="334" t="s">
        <v>481</v>
      </c>
      <c r="D156" s="334" t="s">
        <v>482</v>
      </c>
      <c r="E156" s="334" t="s">
        <v>483</v>
      </c>
      <c r="F156" s="334" t="s">
        <v>2676</v>
      </c>
      <c r="G156" s="334" t="s">
        <v>62</v>
      </c>
      <c r="H156" s="334" t="s">
        <v>484</v>
      </c>
      <c r="I156" s="334" t="s">
        <v>485</v>
      </c>
      <c r="J156" s="334" t="s">
        <v>1191</v>
      </c>
      <c r="K156" s="334" t="s">
        <v>2781</v>
      </c>
      <c r="L156" s="344"/>
      <c r="M156" s="334"/>
      <c r="N156" s="334"/>
      <c r="O156" s="345"/>
      <c r="P156" s="334" t="s">
        <v>2782</v>
      </c>
      <c r="Q156" s="340"/>
      <c r="R156" s="349"/>
      <c r="S156" s="334"/>
      <c r="T156" s="334"/>
      <c r="U156" s="334"/>
      <c r="V156" s="334"/>
      <c r="W156" s="334"/>
      <c r="X156" s="334"/>
      <c r="Y156" s="334"/>
      <c r="Z156" s="334"/>
      <c r="AA156" s="334"/>
    </row>
    <row r="157" spans="1:27" ht="82.5" hidden="1" customHeight="1">
      <c r="A157" s="334" t="s">
        <v>16</v>
      </c>
      <c r="B157" s="335" t="s">
        <v>54</v>
      </c>
      <c r="C157" s="334" t="s">
        <v>486</v>
      </c>
      <c r="D157" s="334" t="s">
        <v>487</v>
      </c>
      <c r="E157" s="334" t="s">
        <v>488</v>
      </c>
      <c r="F157" s="336"/>
      <c r="G157" s="336" t="s">
        <v>62</v>
      </c>
      <c r="H157" s="336" t="s">
        <v>489</v>
      </c>
      <c r="I157" s="337" t="s">
        <v>490</v>
      </c>
      <c r="J157" s="336"/>
      <c r="K157" s="336"/>
      <c r="L157" s="338"/>
      <c r="M157" s="336"/>
      <c r="N157" s="336"/>
      <c r="O157" s="339"/>
      <c r="P157" s="336"/>
      <c r="Q157" s="340"/>
      <c r="R157" s="341"/>
      <c r="S157" s="336"/>
      <c r="T157" s="336"/>
      <c r="U157" s="336"/>
      <c r="V157" s="336"/>
      <c r="W157" s="336"/>
      <c r="X157" s="336"/>
      <c r="Y157" s="336"/>
      <c r="Z157" s="336"/>
      <c r="AA157" s="336"/>
    </row>
    <row r="158" spans="1:27" ht="94.5" hidden="1">
      <c r="A158" s="334" t="s">
        <v>16</v>
      </c>
      <c r="B158" s="335" t="s">
        <v>54</v>
      </c>
      <c r="C158" s="334" t="s">
        <v>486</v>
      </c>
      <c r="D158" s="334" t="s">
        <v>491</v>
      </c>
      <c r="E158" s="348" t="s">
        <v>492</v>
      </c>
      <c r="F158" s="334" t="s">
        <v>2757</v>
      </c>
      <c r="G158" s="334" t="s">
        <v>62</v>
      </c>
      <c r="H158" s="334" t="s">
        <v>493</v>
      </c>
      <c r="I158" s="334" t="s">
        <v>494</v>
      </c>
      <c r="J158" s="334" t="s">
        <v>1191</v>
      </c>
      <c r="K158" s="334" t="s">
        <v>2783</v>
      </c>
      <c r="L158" s="344" t="s">
        <v>2387</v>
      </c>
      <c r="M158" s="334"/>
      <c r="N158" s="334" t="s">
        <v>2784</v>
      </c>
      <c r="O158" s="345"/>
      <c r="P158" s="334"/>
      <c r="Q158" s="340"/>
      <c r="R158" s="349"/>
      <c r="S158" s="334"/>
      <c r="T158" s="334"/>
      <c r="U158" s="334"/>
      <c r="V158" s="334"/>
      <c r="W158" s="334"/>
      <c r="X158" s="334"/>
      <c r="Y158" s="334"/>
      <c r="Z158" s="334"/>
      <c r="AA158" s="334"/>
    </row>
    <row r="159" spans="1:27" ht="283.5" hidden="1">
      <c r="A159" s="334" t="s">
        <v>16</v>
      </c>
      <c r="B159" s="335" t="s">
        <v>54</v>
      </c>
      <c r="C159" s="334" t="s">
        <v>486</v>
      </c>
      <c r="D159" s="334" t="s">
        <v>495</v>
      </c>
      <c r="E159" s="348" t="s">
        <v>496</v>
      </c>
      <c r="F159" s="334" t="s">
        <v>2676</v>
      </c>
      <c r="G159" s="334" t="s">
        <v>62</v>
      </c>
      <c r="H159" s="334" t="s">
        <v>493</v>
      </c>
      <c r="I159" s="334" t="s">
        <v>494</v>
      </c>
      <c r="J159" s="334" t="s">
        <v>1090</v>
      </c>
      <c r="K159" s="334" t="s">
        <v>2785</v>
      </c>
      <c r="L159" s="344"/>
      <c r="M159" s="334"/>
      <c r="N159" s="334"/>
      <c r="O159" s="345"/>
      <c r="P159" s="334" t="s">
        <v>2786</v>
      </c>
      <c r="Q159" s="340"/>
      <c r="R159" s="349"/>
      <c r="S159" s="334"/>
      <c r="T159" s="334"/>
      <c r="U159" s="334"/>
      <c r="V159" s="334"/>
      <c r="W159" s="334"/>
      <c r="X159" s="334"/>
      <c r="Y159" s="334"/>
      <c r="Z159" s="334"/>
      <c r="AA159" s="334"/>
    </row>
    <row r="160" spans="1:27" ht="236.25" hidden="1">
      <c r="A160" s="334" t="s">
        <v>16</v>
      </c>
      <c r="B160" s="335" t="s">
        <v>54</v>
      </c>
      <c r="C160" s="334" t="s">
        <v>486</v>
      </c>
      <c r="D160" s="334" t="s">
        <v>497</v>
      </c>
      <c r="E160" s="348" t="s">
        <v>498</v>
      </c>
      <c r="F160" s="334" t="s">
        <v>2676</v>
      </c>
      <c r="G160" s="334" t="s">
        <v>62</v>
      </c>
      <c r="H160" s="334" t="s">
        <v>493</v>
      </c>
      <c r="I160" s="334" t="s">
        <v>494</v>
      </c>
      <c r="J160" s="334" t="s">
        <v>1191</v>
      </c>
      <c r="K160" s="334" t="s">
        <v>2787</v>
      </c>
      <c r="L160" s="344"/>
      <c r="M160" s="334"/>
      <c r="N160" s="334"/>
      <c r="O160" s="345"/>
      <c r="P160" s="334" t="s">
        <v>2788</v>
      </c>
      <c r="Q160" s="340"/>
      <c r="R160" s="349"/>
      <c r="S160" s="334"/>
      <c r="T160" s="334"/>
      <c r="U160" s="334"/>
      <c r="V160" s="334"/>
      <c r="W160" s="334"/>
      <c r="X160" s="334"/>
      <c r="Y160" s="334"/>
      <c r="Z160" s="334"/>
      <c r="AA160" s="334"/>
    </row>
    <row r="161" spans="1:27" ht="94.5" hidden="1">
      <c r="A161" s="334" t="s">
        <v>16</v>
      </c>
      <c r="B161" s="335" t="s">
        <v>54</v>
      </c>
      <c r="C161" s="334" t="s">
        <v>486</v>
      </c>
      <c r="D161" s="334" t="s">
        <v>499</v>
      </c>
      <c r="E161" s="348" t="s">
        <v>500</v>
      </c>
      <c r="F161" s="334" t="s">
        <v>2676</v>
      </c>
      <c r="G161" s="334" t="s">
        <v>62</v>
      </c>
      <c r="H161" s="334" t="s">
        <v>493</v>
      </c>
      <c r="I161" s="334" t="s">
        <v>494</v>
      </c>
      <c r="J161" s="334" t="s">
        <v>8</v>
      </c>
      <c r="K161" s="334"/>
      <c r="L161" s="344"/>
      <c r="M161" s="334"/>
      <c r="N161" s="334"/>
      <c r="O161" s="345"/>
      <c r="P161" s="334" t="s">
        <v>2755</v>
      </c>
      <c r="Q161" s="340"/>
      <c r="R161" s="349"/>
      <c r="S161" s="334"/>
      <c r="T161" s="334"/>
      <c r="U161" s="334"/>
      <c r="V161" s="334"/>
      <c r="W161" s="334"/>
      <c r="X161" s="334"/>
      <c r="Y161" s="334"/>
      <c r="Z161" s="334"/>
      <c r="AA161" s="334"/>
    </row>
    <row r="162" spans="1:27" ht="94.5" hidden="1">
      <c r="A162" s="334" t="s">
        <v>16</v>
      </c>
      <c r="B162" s="335" t="s">
        <v>54</v>
      </c>
      <c r="C162" s="334" t="s">
        <v>486</v>
      </c>
      <c r="D162" s="334" t="s">
        <v>501</v>
      </c>
      <c r="E162" s="348" t="s">
        <v>502</v>
      </c>
      <c r="F162" s="334" t="s">
        <v>2676</v>
      </c>
      <c r="G162" s="334" t="s">
        <v>62</v>
      </c>
      <c r="H162" s="334" t="s">
        <v>493</v>
      </c>
      <c r="I162" s="334" t="s">
        <v>494</v>
      </c>
      <c r="J162" s="334" t="s">
        <v>8</v>
      </c>
      <c r="K162" s="334"/>
      <c r="L162" s="344"/>
      <c r="M162" s="334"/>
      <c r="N162" s="334"/>
      <c r="O162" s="345"/>
      <c r="P162" s="334" t="s">
        <v>2755</v>
      </c>
      <c r="Q162" s="340"/>
      <c r="R162" s="349"/>
      <c r="S162" s="334"/>
      <c r="T162" s="334"/>
      <c r="U162" s="334"/>
      <c r="V162" s="334"/>
      <c r="W162" s="334"/>
      <c r="X162" s="334"/>
      <c r="Y162" s="334"/>
      <c r="Z162" s="334"/>
      <c r="AA162" s="334"/>
    </row>
    <row r="163" spans="1:27" ht="204.75" hidden="1">
      <c r="A163" s="334" t="s">
        <v>16</v>
      </c>
      <c r="B163" s="335" t="s">
        <v>54</v>
      </c>
      <c r="C163" s="334" t="s">
        <v>486</v>
      </c>
      <c r="D163" s="334" t="s">
        <v>503</v>
      </c>
      <c r="E163" s="348" t="s">
        <v>504</v>
      </c>
      <c r="F163" s="334" t="s">
        <v>2658</v>
      </c>
      <c r="G163" s="334" t="s">
        <v>62</v>
      </c>
      <c r="H163" s="334" t="s">
        <v>493</v>
      </c>
      <c r="I163" s="334" t="s">
        <v>494</v>
      </c>
      <c r="J163" s="334" t="s">
        <v>1090</v>
      </c>
      <c r="K163" s="334"/>
      <c r="L163" s="344"/>
      <c r="M163" s="334"/>
      <c r="N163" s="334"/>
      <c r="O163" s="345"/>
      <c r="P163" s="334" t="s">
        <v>2789</v>
      </c>
      <c r="Q163" s="340"/>
      <c r="R163" s="349"/>
      <c r="S163" s="334"/>
      <c r="T163" s="334"/>
      <c r="U163" s="334"/>
      <c r="V163" s="334"/>
      <c r="W163" s="334"/>
      <c r="X163" s="334"/>
      <c r="Y163" s="334"/>
      <c r="Z163" s="334"/>
      <c r="AA163" s="334"/>
    </row>
    <row r="164" spans="1:27" ht="94.5" hidden="1">
      <c r="A164" s="334" t="s">
        <v>16</v>
      </c>
      <c r="B164" s="335" t="s">
        <v>54</v>
      </c>
      <c r="C164" s="334" t="s">
        <v>486</v>
      </c>
      <c r="D164" s="334" t="s">
        <v>505</v>
      </c>
      <c r="E164" s="348" t="s">
        <v>506</v>
      </c>
      <c r="F164" s="334" t="s">
        <v>2658</v>
      </c>
      <c r="G164" s="334" t="s">
        <v>62</v>
      </c>
      <c r="H164" s="334" t="s">
        <v>493</v>
      </c>
      <c r="I164" s="334" t="s">
        <v>494</v>
      </c>
      <c r="J164" s="334" t="s">
        <v>8</v>
      </c>
      <c r="K164" s="334" t="s">
        <v>2790</v>
      </c>
      <c r="L164" s="344" t="s">
        <v>1380</v>
      </c>
      <c r="M164" s="334"/>
      <c r="N164" s="334" t="s">
        <v>2791</v>
      </c>
      <c r="O164" s="345"/>
      <c r="P164" s="334"/>
      <c r="Q164" s="340"/>
      <c r="R164" s="349"/>
      <c r="S164" s="334"/>
      <c r="T164" s="334"/>
      <c r="U164" s="334"/>
      <c r="V164" s="334"/>
      <c r="W164" s="334"/>
      <c r="X164" s="334"/>
      <c r="Y164" s="334"/>
      <c r="Z164" s="334"/>
      <c r="AA164" s="334"/>
    </row>
    <row r="165" spans="1:27" ht="94.5" hidden="1">
      <c r="A165" s="334" t="s">
        <v>16</v>
      </c>
      <c r="B165" s="335" t="s">
        <v>54</v>
      </c>
      <c r="C165" s="334" t="s">
        <v>486</v>
      </c>
      <c r="D165" s="334" t="s">
        <v>507</v>
      </c>
      <c r="E165" s="348" t="s">
        <v>508</v>
      </c>
      <c r="F165" s="334" t="s">
        <v>2658</v>
      </c>
      <c r="G165" s="334" t="s">
        <v>62</v>
      </c>
      <c r="H165" s="334" t="s">
        <v>493</v>
      </c>
      <c r="I165" s="334" t="s">
        <v>494</v>
      </c>
      <c r="J165" s="334" t="s">
        <v>1191</v>
      </c>
      <c r="K165" s="334" t="s">
        <v>2792</v>
      </c>
      <c r="L165" s="344"/>
      <c r="M165" s="334"/>
      <c r="N165" s="334"/>
      <c r="O165" s="345"/>
      <c r="P165" s="334"/>
      <c r="Q165" s="340"/>
      <c r="R165" s="349"/>
      <c r="S165" s="334"/>
      <c r="T165" s="334"/>
      <c r="U165" s="334"/>
      <c r="V165" s="334"/>
      <c r="W165" s="334"/>
      <c r="X165" s="334"/>
      <c r="Y165" s="334"/>
      <c r="Z165" s="334"/>
      <c r="AA165" s="334"/>
    </row>
    <row r="166" spans="1:27" ht="94.5" hidden="1">
      <c r="A166" s="334" t="s">
        <v>16</v>
      </c>
      <c r="B166" s="335" t="s">
        <v>54</v>
      </c>
      <c r="C166" s="334" t="s">
        <v>486</v>
      </c>
      <c r="D166" s="334" t="s">
        <v>509</v>
      </c>
      <c r="E166" s="348" t="s">
        <v>510</v>
      </c>
      <c r="F166" s="334" t="s">
        <v>2658</v>
      </c>
      <c r="G166" s="334" t="s">
        <v>62</v>
      </c>
      <c r="H166" s="334" t="s">
        <v>493</v>
      </c>
      <c r="I166" s="334" t="s">
        <v>494</v>
      </c>
      <c r="J166" s="334" t="s">
        <v>8</v>
      </c>
      <c r="K166" s="334"/>
      <c r="L166" s="344"/>
      <c r="M166" s="334"/>
      <c r="N166" s="334"/>
      <c r="O166" s="345"/>
      <c r="P166" s="334" t="s">
        <v>2755</v>
      </c>
      <c r="Q166" s="340"/>
      <c r="R166" s="349"/>
      <c r="S166" s="334"/>
      <c r="T166" s="334"/>
      <c r="U166" s="334"/>
      <c r="V166" s="334"/>
      <c r="W166" s="334"/>
      <c r="X166" s="334"/>
      <c r="Y166" s="334"/>
      <c r="Z166" s="334"/>
      <c r="AA166" s="334"/>
    </row>
    <row r="167" spans="1:27" ht="173.25" hidden="1">
      <c r="A167" s="334" t="s">
        <v>16</v>
      </c>
      <c r="B167" s="335" t="s">
        <v>54</v>
      </c>
      <c r="C167" s="334" t="s">
        <v>486</v>
      </c>
      <c r="D167" s="334" t="s">
        <v>511</v>
      </c>
      <c r="E167" s="348" t="s">
        <v>512</v>
      </c>
      <c r="F167" s="334" t="s">
        <v>2658</v>
      </c>
      <c r="G167" s="334" t="s">
        <v>62</v>
      </c>
      <c r="H167" s="334" t="s">
        <v>493</v>
      </c>
      <c r="I167" s="334" t="s">
        <v>494</v>
      </c>
      <c r="J167" s="334" t="s">
        <v>1090</v>
      </c>
      <c r="K167" s="334" t="s">
        <v>2793</v>
      </c>
      <c r="L167" s="344" t="s">
        <v>1380</v>
      </c>
      <c r="M167" s="334"/>
      <c r="N167" s="334" t="s">
        <v>10</v>
      </c>
      <c r="O167" s="345"/>
      <c r="P167" s="334" t="s">
        <v>2794</v>
      </c>
      <c r="Q167" s="340"/>
      <c r="R167" s="349"/>
      <c r="S167" s="334"/>
      <c r="T167" s="334"/>
      <c r="U167" s="334"/>
      <c r="V167" s="334"/>
      <c r="W167" s="334"/>
      <c r="X167" s="334"/>
      <c r="Y167" s="334"/>
      <c r="Z167" s="334"/>
      <c r="AA167" s="334"/>
    </row>
    <row r="168" spans="1:27" ht="141.75" hidden="1">
      <c r="A168" s="368" t="s">
        <v>16</v>
      </c>
      <c r="B168" s="369" t="s">
        <v>54</v>
      </c>
      <c r="C168" s="368" t="s">
        <v>486</v>
      </c>
      <c r="D168" s="368" t="s">
        <v>513</v>
      </c>
      <c r="E168" s="370" t="s">
        <v>514</v>
      </c>
      <c r="F168" s="368" t="s">
        <v>2676</v>
      </c>
      <c r="G168" s="368" t="s">
        <v>62</v>
      </c>
      <c r="H168" s="368" t="s">
        <v>493</v>
      </c>
      <c r="I168" s="368" t="s">
        <v>494</v>
      </c>
      <c r="J168" s="368" t="s">
        <v>1191</v>
      </c>
      <c r="K168" s="368"/>
      <c r="L168" s="372"/>
      <c r="M168" s="368"/>
      <c r="N168" s="368" t="s">
        <v>10</v>
      </c>
      <c r="O168" s="373"/>
      <c r="P168" s="368" t="s">
        <v>2795</v>
      </c>
      <c r="Q168" s="340"/>
      <c r="R168" s="374"/>
      <c r="S168" s="368"/>
      <c r="T168" s="368"/>
      <c r="U168" s="368"/>
      <c r="V168" s="368"/>
      <c r="W168" s="368"/>
      <c r="X168" s="368"/>
      <c r="Y168" s="368"/>
      <c r="Z168" s="368"/>
      <c r="AA168" s="368"/>
    </row>
    <row r="169" spans="1:27" ht="94.5" hidden="1">
      <c r="A169" s="368" t="s">
        <v>16</v>
      </c>
      <c r="B169" s="369" t="s">
        <v>54</v>
      </c>
      <c r="C169" s="368" t="s">
        <v>486</v>
      </c>
      <c r="D169" s="374" t="s">
        <v>515</v>
      </c>
      <c r="E169" s="370" t="s">
        <v>2796</v>
      </c>
      <c r="F169" s="368" t="s">
        <v>2676</v>
      </c>
      <c r="G169" s="368" t="s">
        <v>62</v>
      </c>
      <c r="H169" s="368" t="s">
        <v>493</v>
      </c>
      <c r="I169" s="368" t="s">
        <v>494</v>
      </c>
      <c r="J169" s="368" t="s">
        <v>8</v>
      </c>
      <c r="K169" s="368"/>
      <c r="L169" s="372"/>
      <c r="M169" s="368"/>
      <c r="N169" s="368"/>
      <c r="O169" s="373"/>
      <c r="P169" s="368" t="s">
        <v>2755</v>
      </c>
      <c r="Q169" s="327"/>
      <c r="R169" s="334"/>
      <c r="S169" s="334"/>
      <c r="T169" s="334"/>
      <c r="U169" s="334"/>
      <c r="V169" s="334"/>
      <c r="W169" s="334"/>
      <c r="X169" s="334"/>
      <c r="Y169" s="334"/>
      <c r="Z169" s="334"/>
      <c r="AA169" s="334"/>
    </row>
    <row r="170" spans="1:27" ht="63" hidden="1">
      <c r="A170" s="334" t="s">
        <v>16</v>
      </c>
      <c r="B170" s="335" t="s">
        <v>54</v>
      </c>
      <c r="C170" s="334" t="s">
        <v>486</v>
      </c>
      <c r="D170" s="349" t="s">
        <v>517</v>
      </c>
      <c r="E170" s="334" t="s">
        <v>518</v>
      </c>
      <c r="F170" s="334" t="s">
        <v>2676</v>
      </c>
      <c r="G170" s="334" t="s">
        <v>62</v>
      </c>
      <c r="H170" s="334" t="s">
        <v>519</v>
      </c>
      <c r="I170" s="343">
        <v>1</v>
      </c>
      <c r="J170" s="334" t="s">
        <v>8</v>
      </c>
      <c r="K170" s="334"/>
      <c r="L170" s="344"/>
      <c r="M170" s="334"/>
      <c r="N170" s="334"/>
      <c r="O170" s="345"/>
      <c r="P170" s="334" t="s">
        <v>2755</v>
      </c>
      <c r="Q170" s="340"/>
      <c r="R170" s="388"/>
      <c r="S170" s="376"/>
      <c r="T170" s="376"/>
      <c r="U170" s="376"/>
      <c r="V170" s="376"/>
      <c r="W170" s="376"/>
      <c r="X170" s="376"/>
      <c r="Y170" s="376"/>
      <c r="Z170" s="376"/>
      <c r="AA170" s="376"/>
    </row>
    <row r="171" spans="1:27" ht="110.25" hidden="1">
      <c r="A171" s="376" t="s">
        <v>16</v>
      </c>
      <c r="B171" s="377" t="s">
        <v>54</v>
      </c>
      <c r="C171" s="376" t="s">
        <v>486</v>
      </c>
      <c r="D171" s="376" t="s">
        <v>520</v>
      </c>
      <c r="E171" s="376" t="s">
        <v>521</v>
      </c>
      <c r="F171" s="376" t="s">
        <v>2666</v>
      </c>
      <c r="G171" s="376" t="s">
        <v>62</v>
      </c>
      <c r="H171" s="376" t="s">
        <v>522</v>
      </c>
      <c r="I171" s="378">
        <v>1</v>
      </c>
      <c r="J171" s="376" t="s">
        <v>1090</v>
      </c>
      <c r="K171" s="376" t="s">
        <v>2797</v>
      </c>
      <c r="L171" s="379"/>
      <c r="M171" s="376"/>
      <c r="N171" s="376" t="s">
        <v>10</v>
      </c>
      <c r="O171" s="380"/>
      <c r="P171" s="376" t="s">
        <v>2798</v>
      </c>
      <c r="Q171" s="340"/>
      <c r="R171" s="349"/>
      <c r="S171" s="334"/>
      <c r="T171" s="334"/>
      <c r="U171" s="334"/>
      <c r="V171" s="334"/>
      <c r="W171" s="334"/>
      <c r="X171" s="334"/>
      <c r="Y171" s="334"/>
      <c r="Z171" s="334"/>
      <c r="AA171" s="334"/>
    </row>
    <row r="172" spans="1:27" ht="94.5" hidden="1">
      <c r="A172" s="334" t="s">
        <v>16</v>
      </c>
      <c r="B172" s="335" t="s">
        <v>54</v>
      </c>
      <c r="C172" s="334" t="s">
        <v>486</v>
      </c>
      <c r="D172" s="334" t="s">
        <v>523</v>
      </c>
      <c r="E172" s="334" t="s">
        <v>524</v>
      </c>
      <c r="F172" s="334" t="s">
        <v>2676</v>
      </c>
      <c r="G172" s="334" t="s">
        <v>62</v>
      </c>
      <c r="H172" s="334" t="s">
        <v>525</v>
      </c>
      <c r="I172" s="334" t="s">
        <v>526</v>
      </c>
      <c r="J172" s="334" t="s">
        <v>8</v>
      </c>
      <c r="K172" s="334"/>
      <c r="L172" s="344"/>
      <c r="M172" s="334"/>
      <c r="N172" s="334"/>
      <c r="O172" s="345"/>
      <c r="P172" s="334" t="s">
        <v>2755</v>
      </c>
      <c r="Q172" s="340"/>
      <c r="R172" s="349"/>
      <c r="S172" s="334"/>
      <c r="T172" s="334"/>
      <c r="U172" s="334"/>
      <c r="V172" s="334"/>
      <c r="W172" s="334"/>
      <c r="X172" s="334"/>
      <c r="Y172" s="334"/>
      <c r="Z172" s="334"/>
      <c r="AA172" s="334"/>
    </row>
    <row r="173" spans="1:27" ht="47.25" hidden="1">
      <c r="A173" s="334" t="s">
        <v>16</v>
      </c>
      <c r="B173" s="335" t="s">
        <v>54</v>
      </c>
      <c r="C173" s="334" t="s">
        <v>527</v>
      </c>
      <c r="D173" s="334" t="s">
        <v>528</v>
      </c>
      <c r="E173" s="334" t="s">
        <v>529</v>
      </c>
      <c r="F173" s="334" t="s">
        <v>2676</v>
      </c>
      <c r="G173" s="334" t="s">
        <v>62</v>
      </c>
      <c r="H173" s="334" t="s">
        <v>530</v>
      </c>
      <c r="I173" s="334" t="s">
        <v>135</v>
      </c>
      <c r="J173" s="334" t="s">
        <v>8</v>
      </c>
      <c r="K173" s="334"/>
      <c r="L173" s="344"/>
      <c r="M173" s="334"/>
      <c r="N173" s="334"/>
      <c r="O173" s="345"/>
      <c r="P173" s="334" t="s">
        <v>2755</v>
      </c>
      <c r="Q173" s="340"/>
      <c r="R173" s="349"/>
      <c r="S173" s="334"/>
      <c r="T173" s="334"/>
      <c r="U173" s="334"/>
      <c r="V173" s="334"/>
      <c r="W173" s="334"/>
      <c r="X173" s="334"/>
      <c r="Y173" s="334"/>
      <c r="Z173" s="334"/>
      <c r="AA173" s="334"/>
    </row>
    <row r="174" spans="1:27" ht="252" hidden="1">
      <c r="A174" s="334" t="s">
        <v>16</v>
      </c>
      <c r="B174" s="335" t="s">
        <v>195</v>
      </c>
      <c r="C174" s="334" t="s">
        <v>531</v>
      </c>
      <c r="D174" s="334" t="s">
        <v>532</v>
      </c>
      <c r="E174" s="334" t="s">
        <v>533</v>
      </c>
      <c r="F174" s="334" t="s">
        <v>2676</v>
      </c>
      <c r="G174" s="334" t="s">
        <v>62</v>
      </c>
      <c r="H174" s="334" t="s">
        <v>534</v>
      </c>
      <c r="I174" s="343">
        <v>1</v>
      </c>
      <c r="J174" s="334" t="s">
        <v>1191</v>
      </c>
      <c r="K174" s="334" t="s">
        <v>2799</v>
      </c>
      <c r="L174" s="344"/>
      <c r="M174" s="334"/>
      <c r="N174" s="334"/>
      <c r="O174" s="345"/>
      <c r="P174" s="334" t="s">
        <v>2800</v>
      </c>
      <c r="Q174" s="340"/>
      <c r="R174" s="349"/>
      <c r="S174" s="334"/>
      <c r="T174" s="334"/>
      <c r="U174" s="334"/>
      <c r="V174" s="334"/>
      <c r="W174" s="334"/>
      <c r="X174" s="334"/>
      <c r="Y174" s="334"/>
      <c r="Z174" s="334"/>
      <c r="AA174" s="334"/>
    </row>
    <row r="175" spans="1:27" ht="94.5" hidden="1">
      <c r="A175" s="334" t="s">
        <v>16</v>
      </c>
      <c r="B175" s="335" t="s">
        <v>195</v>
      </c>
      <c r="C175" s="334" t="s">
        <v>531</v>
      </c>
      <c r="D175" s="334" t="s">
        <v>535</v>
      </c>
      <c r="E175" s="334" t="s">
        <v>536</v>
      </c>
      <c r="F175" s="334"/>
      <c r="G175" s="334" t="s">
        <v>62</v>
      </c>
      <c r="H175" s="334" t="s">
        <v>537</v>
      </c>
      <c r="I175" s="334" t="s">
        <v>538</v>
      </c>
      <c r="J175" s="334" t="s">
        <v>8</v>
      </c>
      <c r="K175" s="334"/>
      <c r="L175" s="344"/>
      <c r="M175" s="334"/>
      <c r="N175" s="334"/>
      <c r="O175" s="345"/>
      <c r="P175" s="334" t="s">
        <v>2801</v>
      </c>
      <c r="Q175" s="340"/>
      <c r="R175" s="349"/>
      <c r="S175" s="334"/>
      <c r="T175" s="334"/>
      <c r="U175" s="334"/>
      <c r="V175" s="334"/>
      <c r="W175" s="334"/>
      <c r="X175" s="334"/>
      <c r="Y175" s="334"/>
      <c r="Z175" s="334"/>
      <c r="AA175" s="334"/>
    </row>
    <row r="176" spans="1:27" ht="189" hidden="1">
      <c r="A176" s="334" t="s">
        <v>16</v>
      </c>
      <c r="B176" s="335" t="s">
        <v>195</v>
      </c>
      <c r="C176" s="334" t="s">
        <v>539</v>
      </c>
      <c r="D176" s="334" t="s">
        <v>540</v>
      </c>
      <c r="E176" s="334" t="s">
        <v>541</v>
      </c>
      <c r="F176" s="334" t="s">
        <v>2676</v>
      </c>
      <c r="G176" s="334" t="s">
        <v>62</v>
      </c>
      <c r="H176" s="334" t="s">
        <v>542</v>
      </c>
      <c r="I176" s="343">
        <v>1</v>
      </c>
      <c r="J176" s="334" t="s">
        <v>1090</v>
      </c>
      <c r="K176" s="334" t="s">
        <v>2802</v>
      </c>
      <c r="L176" s="344" t="s">
        <v>2387</v>
      </c>
      <c r="M176" s="334"/>
      <c r="N176" s="334" t="s">
        <v>10</v>
      </c>
      <c r="O176" s="345"/>
      <c r="P176" s="334"/>
      <c r="Q176" s="340"/>
      <c r="R176" s="349"/>
      <c r="S176" s="334"/>
      <c r="T176" s="334"/>
      <c r="U176" s="334"/>
      <c r="V176" s="334"/>
      <c r="W176" s="334"/>
      <c r="X176" s="334"/>
      <c r="Y176" s="334"/>
      <c r="Z176" s="334"/>
      <c r="AA176" s="334"/>
    </row>
    <row r="177" spans="1:51" ht="94.5" hidden="1">
      <c r="A177" s="334" t="s">
        <v>16</v>
      </c>
      <c r="B177" s="335" t="s">
        <v>195</v>
      </c>
      <c r="C177" s="334" t="s">
        <v>543</v>
      </c>
      <c r="D177" s="334" t="s">
        <v>544</v>
      </c>
      <c r="E177" s="334" t="s">
        <v>253</v>
      </c>
      <c r="F177" s="336"/>
      <c r="G177" s="336" t="s">
        <v>62</v>
      </c>
      <c r="H177" s="336" t="s">
        <v>254</v>
      </c>
      <c r="I177" s="337"/>
      <c r="J177" s="336"/>
      <c r="K177" s="336"/>
      <c r="L177" s="338"/>
      <c r="M177" s="336"/>
      <c r="N177" s="336"/>
      <c r="O177" s="339"/>
      <c r="P177" s="336"/>
      <c r="Q177" s="340"/>
      <c r="R177" s="341"/>
      <c r="S177" s="336"/>
      <c r="T177" s="336"/>
      <c r="U177" s="336"/>
      <c r="V177" s="336"/>
      <c r="W177" s="336"/>
      <c r="X177" s="336"/>
      <c r="Y177" s="336"/>
      <c r="Z177" s="336"/>
      <c r="AA177" s="336"/>
    </row>
    <row r="178" spans="1:51" ht="315" hidden="1">
      <c r="A178" s="334" t="s">
        <v>16</v>
      </c>
      <c r="B178" s="335" t="s">
        <v>195</v>
      </c>
      <c r="C178" s="334" t="s">
        <v>543</v>
      </c>
      <c r="D178" s="334" t="s">
        <v>545</v>
      </c>
      <c r="E178" s="348" t="s">
        <v>546</v>
      </c>
      <c r="F178" s="334" t="s">
        <v>2658</v>
      </c>
      <c r="G178" s="334" t="s">
        <v>62</v>
      </c>
      <c r="H178" s="334" t="s">
        <v>254</v>
      </c>
      <c r="I178" s="343">
        <v>1</v>
      </c>
      <c r="J178" s="334" t="s">
        <v>1191</v>
      </c>
      <c r="K178" s="334" t="s">
        <v>2803</v>
      </c>
      <c r="L178" s="344"/>
      <c r="M178" s="334"/>
      <c r="N178" s="334"/>
      <c r="O178" s="345"/>
      <c r="P178" s="334" t="s">
        <v>2804</v>
      </c>
      <c r="Q178" s="340"/>
      <c r="R178" s="349"/>
      <c r="S178" s="334"/>
      <c r="T178" s="334"/>
      <c r="U178" s="334"/>
      <c r="V178" s="334"/>
      <c r="W178" s="334"/>
      <c r="X178" s="334"/>
      <c r="Y178" s="334"/>
      <c r="Z178" s="334"/>
      <c r="AA178" s="334"/>
    </row>
    <row r="179" spans="1:51" ht="189" hidden="1">
      <c r="A179" s="334" t="s">
        <v>16</v>
      </c>
      <c r="B179" s="335" t="s">
        <v>195</v>
      </c>
      <c r="C179" s="334" t="s">
        <v>543</v>
      </c>
      <c r="D179" s="334" t="s">
        <v>547</v>
      </c>
      <c r="E179" s="348" t="s">
        <v>548</v>
      </c>
      <c r="F179" s="334" t="s">
        <v>2658</v>
      </c>
      <c r="G179" s="334" t="s">
        <v>58</v>
      </c>
      <c r="H179" s="334" t="s">
        <v>549</v>
      </c>
      <c r="I179" s="334" t="s">
        <v>210</v>
      </c>
      <c r="J179" s="334" t="s">
        <v>1191</v>
      </c>
      <c r="K179" s="334" t="s">
        <v>2805</v>
      </c>
      <c r="L179" s="344" t="s">
        <v>2387</v>
      </c>
      <c r="M179" s="334"/>
      <c r="N179" s="334" t="s">
        <v>10</v>
      </c>
      <c r="O179" s="345"/>
      <c r="P179" s="334"/>
      <c r="Q179" s="340"/>
      <c r="R179" s="349"/>
      <c r="S179" s="334"/>
      <c r="T179" s="334"/>
      <c r="U179" s="334"/>
      <c r="V179" s="334"/>
      <c r="W179" s="334"/>
      <c r="X179" s="334"/>
      <c r="Y179" s="334"/>
      <c r="Z179" s="334"/>
      <c r="AA179" s="334"/>
    </row>
    <row r="180" spans="1:51" ht="173.25" hidden="1">
      <c r="A180" s="334" t="s">
        <v>16</v>
      </c>
      <c r="B180" s="335" t="s">
        <v>195</v>
      </c>
      <c r="C180" s="334" t="s">
        <v>543</v>
      </c>
      <c r="D180" s="334" t="s">
        <v>550</v>
      </c>
      <c r="E180" s="348" t="s">
        <v>551</v>
      </c>
      <c r="F180" s="334" t="s">
        <v>2658</v>
      </c>
      <c r="G180" s="334" t="s">
        <v>58</v>
      </c>
      <c r="H180" s="334" t="s">
        <v>552</v>
      </c>
      <c r="I180" s="334" t="s">
        <v>210</v>
      </c>
      <c r="J180" s="334" t="s">
        <v>1191</v>
      </c>
      <c r="K180" s="334" t="s">
        <v>2806</v>
      </c>
      <c r="L180" s="344" t="s">
        <v>2387</v>
      </c>
      <c r="M180" s="334"/>
      <c r="N180" s="334"/>
      <c r="O180" s="345"/>
      <c r="P180" s="334" t="s">
        <v>2807</v>
      </c>
      <c r="Q180" s="340"/>
      <c r="R180" s="349"/>
      <c r="S180" s="334"/>
      <c r="T180" s="334"/>
      <c r="U180" s="334"/>
      <c r="V180" s="334"/>
      <c r="W180" s="334"/>
      <c r="X180" s="334"/>
      <c r="Y180" s="334"/>
      <c r="Z180" s="334"/>
      <c r="AA180" s="334"/>
    </row>
    <row r="181" spans="1:51" ht="110.25" hidden="1">
      <c r="A181" s="334" t="s">
        <v>16</v>
      </c>
      <c r="B181" s="335" t="s">
        <v>195</v>
      </c>
      <c r="C181" s="334" t="s">
        <v>543</v>
      </c>
      <c r="D181" s="334" t="s">
        <v>553</v>
      </c>
      <c r="E181" s="334" t="s">
        <v>2808</v>
      </c>
      <c r="F181" s="334" t="s">
        <v>2658</v>
      </c>
      <c r="G181" s="334" t="s">
        <v>62</v>
      </c>
      <c r="H181" s="334" t="s">
        <v>555</v>
      </c>
      <c r="I181" s="343">
        <v>1</v>
      </c>
      <c r="J181" s="334" t="s">
        <v>8</v>
      </c>
      <c r="K181" s="334"/>
      <c r="L181" s="344"/>
      <c r="M181" s="334"/>
      <c r="N181" s="334"/>
      <c r="O181" s="345"/>
      <c r="P181" s="334" t="s">
        <v>2755</v>
      </c>
      <c r="Q181" s="340"/>
      <c r="R181" s="349"/>
      <c r="S181" s="334"/>
      <c r="T181" s="334"/>
      <c r="U181" s="334"/>
      <c r="V181" s="334"/>
      <c r="W181" s="334"/>
      <c r="X181" s="334"/>
      <c r="Y181" s="334"/>
      <c r="Z181" s="334"/>
      <c r="AA181" s="334"/>
    </row>
    <row r="182" spans="1:51" ht="330.75" hidden="1">
      <c r="A182" s="334" t="s">
        <v>16</v>
      </c>
      <c r="B182" s="335" t="s">
        <v>195</v>
      </c>
      <c r="C182" s="334" t="s">
        <v>556</v>
      </c>
      <c r="D182" s="334" t="s">
        <v>557</v>
      </c>
      <c r="E182" s="334" t="s">
        <v>558</v>
      </c>
      <c r="F182" s="334" t="s">
        <v>2809</v>
      </c>
      <c r="G182" s="334" t="s">
        <v>62</v>
      </c>
      <c r="H182" s="334" t="s">
        <v>559</v>
      </c>
      <c r="I182" s="334" t="s">
        <v>485</v>
      </c>
      <c r="J182" s="334" t="s">
        <v>1191</v>
      </c>
      <c r="K182" s="334" t="s">
        <v>2810</v>
      </c>
      <c r="L182" s="344" t="s">
        <v>2387</v>
      </c>
      <c r="M182" s="334"/>
      <c r="N182" s="334" t="s">
        <v>10</v>
      </c>
      <c r="O182" s="345"/>
      <c r="P182" s="334"/>
      <c r="Q182" s="340"/>
      <c r="R182" s="349"/>
      <c r="S182" s="334"/>
      <c r="T182" s="334"/>
      <c r="U182" s="334"/>
      <c r="V182" s="334"/>
      <c r="W182" s="334"/>
      <c r="X182" s="334"/>
      <c r="Y182" s="334"/>
      <c r="Z182" s="334"/>
      <c r="AA182" s="334"/>
    </row>
    <row r="183" spans="1:51" ht="63" hidden="1">
      <c r="A183" s="334" t="s">
        <v>16</v>
      </c>
      <c r="B183" s="335" t="s">
        <v>195</v>
      </c>
      <c r="C183" s="334" t="s">
        <v>556</v>
      </c>
      <c r="D183" s="334" t="s">
        <v>560</v>
      </c>
      <c r="E183" s="334" t="s">
        <v>561</v>
      </c>
      <c r="F183" s="334"/>
      <c r="G183" s="334" t="s">
        <v>62</v>
      </c>
      <c r="H183" s="334" t="s">
        <v>259</v>
      </c>
      <c r="I183" s="334" t="s">
        <v>210</v>
      </c>
      <c r="J183" s="334" t="s">
        <v>1090</v>
      </c>
      <c r="K183" s="334" t="s">
        <v>2811</v>
      </c>
      <c r="L183" s="344"/>
      <c r="M183" s="334"/>
      <c r="N183" s="334"/>
      <c r="O183" s="345"/>
      <c r="P183" s="334" t="s">
        <v>2812</v>
      </c>
      <c r="Q183" s="340"/>
      <c r="R183" s="349"/>
      <c r="S183" s="334"/>
      <c r="T183" s="334"/>
      <c r="U183" s="334"/>
      <c r="V183" s="334"/>
      <c r="W183" s="334"/>
      <c r="X183" s="334"/>
      <c r="Y183" s="334"/>
      <c r="Z183" s="334"/>
      <c r="AA183" s="334"/>
    </row>
    <row r="184" spans="1:51" ht="94.5" hidden="1">
      <c r="A184" s="334" t="s">
        <v>16</v>
      </c>
      <c r="B184" s="335" t="s">
        <v>274</v>
      </c>
      <c r="C184" s="334" t="s">
        <v>562</v>
      </c>
      <c r="D184" s="334" t="s">
        <v>563</v>
      </c>
      <c r="E184" s="334" t="s">
        <v>564</v>
      </c>
      <c r="F184" s="336"/>
      <c r="G184" s="336" t="s">
        <v>62</v>
      </c>
      <c r="H184" s="336"/>
      <c r="I184" s="337"/>
      <c r="J184" s="336"/>
      <c r="K184" s="336"/>
      <c r="L184" s="338"/>
      <c r="M184" s="336"/>
      <c r="N184" s="336"/>
      <c r="O184" s="339"/>
      <c r="P184" s="336"/>
      <c r="Q184" s="340"/>
      <c r="R184" s="341"/>
      <c r="S184" s="336"/>
      <c r="T184" s="336"/>
      <c r="U184" s="336"/>
      <c r="V184" s="336"/>
      <c r="W184" s="336"/>
      <c r="X184" s="336"/>
      <c r="Y184" s="336"/>
      <c r="Z184" s="336"/>
      <c r="AA184" s="336"/>
    </row>
    <row r="185" spans="1:51" ht="267.75" hidden="1">
      <c r="A185" s="334" t="s">
        <v>16</v>
      </c>
      <c r="B185" s="335" t="s">
        <v>274</v>
      </c>
      <c r="C185" s="334" t="s">
        <v>562</v>
      </c>
      <c r="D185" s="334" t="s">
        <v>565</v>
      </c>
      <c r="E185" s="348" t="s">
        <v>566</v>
      </c>
      <c r="F185" s="334" t="s">
        <v>2666</v>
      </c>
      <c r="G185" s="334" t="s">
        <v>62</v>
      </c>
      <c r="H185" s="334" t="s">
        <v>567</v>
      </c>
      <c r="I185" s="343">
        <v>1</v>
      </c>
      <c r="J185" s="334" t="s">
        <v>1191</v>
      </c>
      <c r="K185" s="334" t="s">
        <v>2813</v>
      </c>
      <c r="L185" s="344" t="s">
        <v>2329</v>
      </c>
      <c r="M185" s="334"/>
      <c r="N185" s="334" t="s">
        <v>10</v>
      </c>
      <c r="O185" s="345"/>
      <c r="P185" s="334"/>
      <c r="Q185" s="340"/>
      <c r="R185" s="349"/>
      <c r="S185" s="334"/>
      <c r="T185" s="334"/>
      <c r="U185" s="334"/>
      <c r="V185" s="334"/>
      <c r="W185" s="334"/>
      <c r="X185" s="334"/>
      <c r="Y185" s="334"/>
      <c r="Z185" s="334"/>
      <c r="AA185" s="334"/>
    </row>
    <row r="186" spans="1:51" ht="78.75" hidden="1">
      <c r="A186" s="334" t="s">
        <v>16</v>
      </c>
      <c r="B186" s="335" t="s">
        <v>274</v>
      </c>
      <c r="C186" s="334" t="s">
        <v>562</v>
      </c>
      <c r="D186" s="334" t="s">
        <v>568</v>
      </c>
      <c r="E186" s="348" t="s">
        <v>569</v>
      </c>
      <c r="F186" s="334" t="s">
        <v>2666</v>
      </c>
      <c r="G186" s="334" t="s">
        <v>62</v>
      </c>
      <c r="H186" s="334" t="s">
        <v>570</v>
      </c>
      <c r="I186" s="343">
        <v>1</v>
      </c>
      <c r="J186" s="334" t="s">
        <v>1191</v>
      </c>
      <c r="K186" s="334" t="s">
        <v>2814</v>
      </c>
      <c r="L186" s="344" t="s">
        <v>2815</v>
      </c>
      <c r="M186" s="334"/>
      <c r="N186" s="334"/>
      <c r="O186" s="345"/>
      <c r="P186" s="334"/>
      <c r="Q186" s="340"/>
      <c r="R186" s="349"/>
      <c r="S186" s="334"/>
      <c r="T186" s="334"/>
      <c r="U186" s="334"/>
      <c r="V186" s="334"/>
      <c r="W186" s="334"/>
      <c r="X186" s="334"/>
      <c r="Y186" s="334"/>
      <c r="Z186" s="334"/>
      <c r="AA186" s="334"/>
    </row>
    <row r="187" spans="1:51" ht="78.75" hidden="1">
      <c r="A187" s="334" t="s">
        <v>16</v>
      </c>
      <c r="B187" s="335" t="s">
        <v>274</v>
      </c>
      <c r="C187" s="334" t="s">
        <v>571</v>
      </c>
      <c r="D187" s="334" t="s">
        <v>572</v>
      </c>
      <c r="E187" s="334" t="s">
        <v>573</v>
      </c>
      <c r="F187" s="334" t="s">
        <v>2676</v>
      </c>
      <c r="G187" s="334" t="s">
        <v>62</v>
      </c>
      <c r="H187" s="334" t="s">
        <v>574</v>
      </c>
      <c r="I187" s="343">
        <v>1</v>
      </c>
      <c r="J187" s="334" t="s">
        <v>8</v>
      </c>
      <c r="K187" s="334"/>
      <c r="L187" s="344"/>
      <c r="M187" s="334"/>
      <c r="N187" s="334"/>
      <c r="O187" s="345"/>
      <c r="P187" s="334" t="s">
        <v>2755</v>
      </c>
      <c r="Q187" s="340"/>
      <c r="R187" s="349"/>
      <c r="S187" s="334"/>
      <c r="T187" s="334"/>
      <c r="U187" s="334"/>
      <c r="V187" s="334"/>
      <c r="W187" s="334"/>
      <c r="X187" s="334"/>
      <c r="Y187" s="334"/>
      <c r="Z187" s="334"/>
      <c r="AA187" s="334"/>
    </row>
    <row r="188" spans="1:51" ht="78.75" hidden="1">
      <c r="A188" s="334" t="s">
        <v>16</v>
      </c>
      <c r="B188" s="335" t="s">
        <v>274</v>
      </c>
      <c r="C188" s="334" t="s">
        <v>571</v>
      </c>
      <c r="D188" s="334" t="s">
        <v>575</v>
      </c>
      <c r="E188" s="334" t="s">
        <v>576</v>
      </c>
      <c r="F188" s="334" t="s">
        <v>2757</v>
      </c>
      <c r="G188" s="334" t="s">
        <v>62</v>
      </c>
      <c r="H188" s="334" t="s">
        <v>577</v>
      </c>
      <c r="I188" s="343">
        <v>1</v>
      </c>
      <c r="J188" s="334" t="s">
        <v>8</v>
      </c>
      <c r="K188" s="334"/>
      <c r="L188" s="344"/>
      <c r="M188" s="334"/>
      <c r="N188" s="334"/>
      <c r="O188" s="345"/>
      <c r="P188" s="334" t="s">
        <v>2755</v>
      </c>
      <c r="Q188" s="340"/>
      <c r="R188" s="349"/>
      <c r="S188" s="334"/>
      <c r="T188" s="334"/>
      <c r="U188" s="334"/>
      <c r="V188" s="334"/>
      <c r="W188" s="334"/>
      <c r="X188" s="334"/>
      <c r="Y188" s="334"/>
      <c r="Z188" s="334"/>
      <c r="AA188" s="334"/>
    </row>
    <row r="189" spans="1:51" ht="78.75" hidden="1">
      <c r="A189" s="334" t="s">
        <v>16</v>
      </c>
      <c r="B189" s="335" t="s">
        <v>274</v>
      </c>
      <c r="C189" s="334" t="s">
        <v>571</v>
      </c>
      <c r="D189" s="334" t="s">
        <v>578</v>
      </c>
      <c r="E189" s="334" t="s">
        <v>579</v>
      </c>
      <c r="F189" s="334" t="s">
        <v>2666</v>
      </c>
      <c r="G189" s="334" t="s">
        <v>62</v>
      </c>
      <c r="H189" s="334" t="s">
        <v>580</v>
      </c>
      <c r="I189" s="343">
        <v>1</v>
      </c>
      <c r="J189" s="334" t="s">
        <v>8</v>
      </c>
      <c r="K189" s="334"/>
      <c r="L189" s="344"/>
      <c r="M189" s="334"/>
      <c r="N189" s="334"/>
      <c r="O189" s="345"/>
      <c r="P189" s="334" t="s">
        <v>2755</v>
      </c>
      <c r="Q189" s="340"/>
      <c r="R189" s="349"/>
      <c r="S189" s="334"/>
      <c r="T189" s="334"/>
      <c r="U189" s="334"/>
      <c r="V189" s="334"/>
      <c r="W189" s="334"/>
      <c r="X189" s="334"/>
      <c r="Y189" s="334"/>
      <c r="Z189" s="334"/>
      <c r="AA189" s="334"/>
    </row>
    <row r="190" spans="1:51" s="392" customFormat="1" ht="47.25" hidden="1">
      <c r="A190" s="336" t="s">
        <v>16</v>
      </c>
      <c r="B190" s="390" t="s">
        <v>274</v>
      </c>
      <c r="C190" s="336" t="s">
        <v>581</v>
      </c>
      <c r="D190" s="336" t="s">
        <v>582</v>
      </c>
      <c r="E190" s="336" t="s">
        <v>582</v>
      </c>
      <c r="F190" s="336" t="s">
        <v>582</v>
      </c>
      <c r="G190" s="336" t="s">
        <v>582</v>
      </c>
      <c r="H190" s="336" t="s">
        <v>582</v>
      </c>
      <c r="I190" s="336" t="s">
        <v>582</v>
      </c>
      <c r="J190" s="336" t="s">
        <v>582</v>
      </c>
      <c r="K190" s="336" t="s">
        <v>582</v>
      </c>
      <c r="L190" s="336" t="s">
        <v>582</v>
      </c>
      <c r="M190" s="336" t="s">
        <v>582</v>
      </c>
      <c r="N190" s="336" t="s">
        <v>582</v>
      </c>
      <c r="O190" s="336" t="s">
        <v>582</v>
      </c>
      <c r="P190" s="336" t="s">
        <v>582</v>
      </c>
      <c r="Q190" s="391"/>
      <c r="R190" s="341" t="s">
        <v>582</v>
      </c>
      <c r="S190" s="336" t="s">
        <v>582</v>
      </c>
      <c r="T190" s="336" t="s">
        <v>582</v>
      </c>
      <c r="U190" s="336"/>
      <c r="V190" s="336" t="s">
        <v>582</v>
      </c>
      <c r="W190" s="336" t="s">
        <v>582</v>
      </c>
      <c r="X190" s="336" t="s">
        <v>582</v>
      </c>
      <c r="Y190" s="336" t="s">
        <v>582</v>
      </c>
      <c r="Z190" s="336" t="s">
        <v>582</v>
      </c>
      <c r="AA190" s="336" t="s">
        <v>582</v>
      </c>
      <c r="AB190" s="327"/>
      <c r="AC190" s="327"/>
      <c r="AD190" s="327"/>
      <c r="AE190" s="327"/>
      <c r="AF190" s="327"/>
      <c r="AG190" s="327"/>
      <c r="AH190" s="327"/>
      <c r="AI190" s="327"/>
      <c r="AJ190" s="327"/>
      <c r="AK190" s="327"/>
      <c r="AL190" s="327"/>
      <c r="AM190" s="327"/>
      <c r="AN190" s="327"/>
      <c r="AO190" s="327"/>
      <c r="AP190" s="327"/>
      <c r="AQ190" s="327"/>
      <c r="AR190" s="327"/>
      <c r="AS190" s="327"/>
      <c r="AT190" s="327"/>
      <c r="AU190" s="327"/>
      <c r="AV190" s="327"/>
      <c r="AW190" s="327"/>
      <c r="AX190" s="327"/>
      <c r="AY190" s="327"/>
    </row>
    <row r="191" spans="1:51" ht="126" hidden="1">
      <c r="A191" s="334" t="s">
        <v>16</v>
      </c>
      <c r="B191" s="335" t="s">
        <v>274</v>
      </c>
      <c r="C191" s="334" t="s">
        <v>583</v>
      </c>
      <c r="D191" s="334" t="s">
        <v>584</v>
      </c>
      <c r="E191" s="334" t="s">
        <v>585</v>
      </c>
      <c r="F191" s="334" t="s">
        <v>2676</v>
      </c>
      <c r="G191" s="334" t="s">
        <v>62</v>
      </c>
      <c r="H191" s="334" t="s">
        <v>586</v>
      </c>
      <c r="I191" s="343">
        <v>1</v>
      </c>
      <c r="J191" s="334" t="s">
        <v>8</v>
      </c>
      <c r="K191" s="343" t="s">
        <v>2699</v>
      </c>
      <c r="L191" s="344"/>
      <c r="M191" s="334"/>
      <c r="N191" s="334"/>
      <c r="O191" s="345"/>
      <c r="P191" s="334"/>
      <c r="Q191" s="340"/>
      <c r="R191" s="349"/>
      <c r="S191" s="334"/>
      <c r="T191" s="334"/>
      <c r="U191" s="334"/>
      <c r="V191" s="334"/>
      <c r="W191" s="334"/>
      <c r="X191" s="334"/>
      <c r="Y191" s="334"/>
      <c r="Z191" s="334"/>
      <c r="AA191" s="334"/>
    </row>
    <row r="192" spans="1:51" ht="63" hidden="1">
      <c r="A192" s="334" t="s">
        <v>16</v>
      </c>
      <c r="B192" s="335" t="s">
        <v>587</v>
      </c>
      <c r="C192" s="334" t="s">
        <v>588</v>
      </c>
      <c r="D192" s="334" t="s">
        <v>589</v>
      </c>
      <c r="E192" s="334" t="s">
        <v>590</v>
      </c>
      <c r="F192" s="334" t="s">
        <v>2676</v>
      </c>
      <c r="G192" s="334" t="s">
        <v>62</v>
      </c>
      <c r="H192" s="334" t="s">
        <v>591</v>
      </c>
      <c r="I192" s="343">
        <v>1</v>
      </c>
      <c r="J192" s="334" t="s">
        <v>1191</v>
      </c>
      <c r="K192" s="334" t="s">
        <v>2816</v>
      </c>
      <c r="L192" s="344"/>
      <c r="M192" s="334"/>
      <c r="N192" s="334"/>
      <c r="O192" s="345"/>
      <c r="P192" s="334"/>
      <c r="Q192" s="340"/>
      <c r="R192" s="349"/>
      <c r="S192" s="334"/>
      <c r="T192" s="334"/>
      <c r="U192" s="334"/>
      <c r="V192" s="334"/>
      <c r="W192" s="334"/>
      <c r="X192" s="334"/>
      <c r="Y192" s="334"/>
      <c r="Z192" s="334"/>
      <c r="AA192" s="334"/>
    </row>
    <row r="193" spans="1:27" ht="56.25" hidden="1">
      <c r="A193" s="334" t="s">
        <v>16</v>
      </c>
      <c r="B193" s="335" t="s">
        <v>587</v>
      </c>
      <c r="C193" s="334" t="s">
        <v>588</v>
      </c>
      <c r="D193" s="334" t="s">
        <v>592</v>
      </c>
      <c r="E193" s="334" t="s">
        <v>351</v>
      </c>
      <c r="F193" s="336"/>
      <c r="G193" s="336" t="s">
        <v>62</v>
      </c>
      <c r="H193" s="336" t="s">
        <v>352</v>
      </c>
      <c r="I193" s="337">
        <v>1</v>
      </c>
      <c r="J193" s="336"/>
      <c r="K193" s="336"/>
      <c r="L193" s="338"/>
      <c r="M193" s="336"/>
      <c r="N193" s="336"/>
      <c r="O193" s="339"/>
      <c r="P193" s="336"/>
      <c r="Q193" s="340"/>
      <c r="R193" s="341"/>
      <c r="S193" s="336"/>
      <c r="T193" s="336"/>
      <c r="U193" s="336"/>
      <c r="V193" s="336"/>
      <c r="W193" s="336"/>
      <c r="X193" s="336"/>
      <c r="Y193" s="336"/>
      <c r="Z193" s="336"/>
      <c r="AA193" s="336"/>
    </row>
    <row r="194" spans="1:27" ht="56.25" hidden="1">
      <c r="A194" s="334" t="s">
        <v>16</v>
      </c>
      <c r="B194" s="335" t="s">
        <v>587</v>
      </c>
      <c r="C194" s="334" t="s">
        <v>588</v>
      </c>
      <c r="D194" s="334" t="s">
        <v>593</v>
      </c>
      <c r="E194" s="348" t="s">
        <v>594</v>
      </c>
      <c r="F194" s="334" t="s">
        <v>2676</v>
      </c>
      <c r="G194" s="334" t="s">
        <v>62</v>
      </c>
      <c r="H194" s="334" t="s">
        <v>352</v>
      </c>
      <c r="I194" s="343">
        <v>1</v>
      </c>
      <c r="J194" s="334" t="s">
        <v>8</v>
      </c>
      <c r="K194" s="334"/>
      <c r="L194" s="344"/>
      <c r="M194" s="334"/>
      <c r="N194" s="334"/>
      <c r="O194" s="345"/>
      <c r="P194" s="334" t="s">
        <v>2817</v>
      </c>
      <c r="Q194" s="340"/>
      <c r="R194" s="349"/>
      <c r="S194" s="334"/>
      <c r="T194" s="334"/>
      <c r="U194" s="334"/>
      <c r="V194" s="334"/>
      <c r="W194" s="334"/>
      <c r="X194" s="334"/>
      <c r="Y194" s="334"/>
      <c r="Z194" s="334"/>
      <c r="AA194" s="334"/>
    </row>
    <row r="195" spans="1:27" ht="56.25" hidden="1">
      <c r="A195" s="334" t="s">
        <v>16</v>
      </c>
      <c r="B195" s="335" t="s">
        <v>587</v>
      </c>
      <c r="C195" s="334" t="s">
        <v>588</v>
      </c>
      <c r="D195" s="334" t="s">
        <v>593</v>
      </c>
      <c r="E195" s="348" t="s">
        <v>595</v>
      </c>
      <c r="F195" s="334" t="s">
        <v>2676</v>
      </c>
      <c r="G195" s="334" t="s">
        <v>62</v>
      </c>
      <c r="H195" s="334" t="s">
        <v>352</v>
      </c>
      <c r="I195" s="343">
        <v>1</v>
      </c>
      <c r="J195" s="334" t="s">
        <v>8</v>
      </c>
      <c r="K195" s="334"/>
      <c r="L195" s="344"/>
      <c r="M195" s="334"/>
      <c r="N195" s="334"/>
      <c r="O195" s="345"/>
      <c r="P195" s="334" t="s">
        <v>2817</v>
      </c>
      <c r="Q195" s="340"/>
      <c r="R195" s="349"/>
      <c r="S195" s="334"/>
      <c r="T195" s="334"/>
      <c r="U195" s="334"/>
      <c r="V195" s="334"/>
      <c r="W195" s="334"/>
      <c r="X195" s="334"/>
      <c r="Y195" s="334"/>
      <c r="Z195" s="334"/>
      <c r="AA195" s="334"/>
    </row>
    <row r="196" spans="1:27" ht="56.25" hidden="1">
      <c r="A196" s="334" t="s">
        <v>16</v>
      </c>
      <c r="B196" s="335" t="s">
        <v>587</v>
      </c>
      <c r="C196" s="334" t="s">
        <v>588</v>
      </c>
      <c r="D196" s="334" t="s">
        <v>593</v>
      </c>
      <c r="E196" s="348" t="s">
        <v>596</v>
      </c>
      <c r="F196" s="334" t="s">
        <v>2676</v>
      </c>
      <c r="G196" s="334" t="s">
        <v>62</v>
      </c>
      <c r="H196" s="334" t="s">
        <v>352</v>
      </c>
      <c r="I196" s="343">
        <v>1</v>
      </c>
      <c r="J196" s="334" t="s">
        <v>8</v>
      </c>
      <c r="K196" s="334"/>
      <c r="L196" s="344"/>
      <c r="M196" s="334"/>
      <c r="N196" s="334"/>
      <c r="O196" s="345"/>
      <c r="P196" s="334" t="s">
        <v>2817</v>
      </c>
      <c r="Q196" s="340"/>
      <c r="R196" s="349"/>
      <c r="S196" s="334"/>
      <c r="T196" s="334"/>
      <c r="U196" s="334"/>
      <c r="V196" s="334"/>
      <c r="W196" s="334"/>
      <c r="X196" s="334"/>
      <c r="Y196" s="334"/>
      <c r="Z196" s="334"/>
      <c r="AA196" s="334"/>
    </row>
    <row r="197" spans="1:27" ht="56.25" hidden="1">
      <c r="A197" s="334" t="s">
        <v>16</v>
      </c>
      <c r="B197" s="335" t="s">
        <v>587</v>
      </c>
      <c r="C197" s="334" t="s">
        <v>588</v>
      </c>
      <c r="D197" s="334" t="s">
        <v>593</v>
      </c>
      <c r="E197" s="348" t="s">
        <v>597</v>
      </c>
      <c r="F197" s="334" t="s">
        <v>2676</v>
      </c>
      <c r="G197" s="334" t="s">
        <v>62</v>
      </c>
      <c r="H197" s="334" t="s">
        <v>352</v>
      </c>
      <c r="I197" s="343">
        <v>1</v>
      </c>
      <c r="J197" s="334" t="s">
        <v>8</v>
      </c>
      <c r="K197" s="334"/>
      <c r="L197" s="344"/>
      <c r="M197" s="334"/>
      <c r="N197" s="334"/>
      <c r="O197" s="345"/>
      <c r="P197" s="334" t="s">
        <v>2817</v>
      </c>
      <c r="Q197" s="340"/>
      <c r="R197" s="349"/>
      <c r="S197" s="334"/>
      <c r="T197" s="334"/>
      <c r="U197" s="334"/>
      <c r="V197" s="334"/>
      <c r="W197" s="334"/>
      <c r="X197" s="334"/>
      <c r="Y197" s="334"/>
      <c r="Z197" s="334"/>
      <c r="AA197" s="334"/>
    </row>
    <row r="198" spans="1:27" ht="56.25" hidden="1">
      <c r="A198" s="334" t="s">
        <v>16</v>
      </c>
      <c r="B198" s="335" t="s">
        <v>587</v>
      </c>
      <c r="C198" s="334" t="s">
        <v>588</v>
      </c>
      <c r="D198" s="334" t="s">
        <v>598</v>
      </c>
      <c r="E198" s="348" t="s">
        <v>599</v>
      </c>
      <c r="F198" s="334" t="s">
        <v>2676</v>
      </c>
      <c r="G198" s="334" t="s">
        <v>62</v>
      </c>
      <c r="H198" s="334" t="s">
        <v>352</v>
      </c>
      <c r="I198" s="343">
        <v>1</v>
      </c>
      <c r="J198" s="334" t="s">
        <v>8</v>
      </c>
      <c r="K198" s="334"/>
      <c r="L198" s="344"/>
      <c r="M198" s="334"/>
      <c r="N198" s="334"/>
      <c r="O198" s="345"/>
      <c r="P198" s="334" t="s">
        <v>2817</v>
      </c>
      <c r="Q198" s="340"/>
      <c r="R198" s="349"/>
      <c r="S198" s="334"/>
      <c r="T198" s="334"/>
      <c r="U198" s="334"/>
      <c r="V198" s="334"/>
      <c r="W198" s="334"/>
      <c r="X198" s="334"/>
      <c r="Y198" s="334"/>
      <c r="Z198" s="334"/>
      <c r="AA198" s="334"/>
    </row>
    <row r="199" spans="1:27" ht="56.25" hidden="1">
      <c r="A199" s="334" t="s">
        <v>16</v>
      </c>
      <c r="B199" s="335" t="s">
        <v>587</v>
      </c>
      <c r="C199" s="334" t="s">
        <v>588</v>
      </c>
      <c r="D199" s="334" t="s">
        <v>600</v>
      </c>
      <c r="E199" s="348" t="s">
        <v>601</v>
      </c>
      <c r="F199" s="334" t="s">
        <v>2666</v>
      </c>
      <c r="G199" s="334" t="s">
        <v>62</v>
      </c>
      <c r="H199" s="334" t="s">
        <v>352</v>
      </c>
      <c r="I199" s="343">
        <v>1</v>
      </c>
      <c r="J199" s="334" t="s">
        <v>8</v>
      </c>
      <c r="K199" s="334"/>
      <c r="L199" s="344"/>
      <c r="M199" s="334"/>
      <c r="N199" s="334"/>
      <c r="O199" s="345"/>
      <c r="P199" s="334" t="s">
        <v>2818</v>
      </c>
      <c r="Q199" s="340"/>
      <c r="R199" s="349"/>
      <c r="S199" s="334"/>
      <c r="T199" s="334"/>
      <c r="U199" s="334"/>
      <c r="V199" s="334"/>
      <c r="W199" s="334"/>
      <c r="X199" s="334"/>
      <c r="Y199" s="334"/>
      <c r="Z199" s="334"/>
      <c r="AA199" s="334"/>
    </row>
    <row r="200" spans="1:27" ht="56.25" hidden="1">
      <c r="A200" s="334" t="s">
        <v>16</v>
      </c>
      <c r="B200" s="335" t="s">
        <v>587</v>
      </c>
      <c r="C200" s="334" t="s">
        <v>588</v>
      </c>
      <c r="D200" s="334" t="s">
        <v>602</v>
      </c>
      <c r="E200" s="348" t="s">
        <v>603</v>
      </c>
      <c r="F200" s="334" t="s">
        <v>2666</v>
      </c>
      <c r="G200" s="334" t="s">
        <v>62</v>
      </c>
      <c r="H200" s="334" t="s">
        <v>352</v>
      </c>
      <c r="I200" s="343">
        <v>1</v>
      </c>
      <c r="J200" s="334" t="s">
        <v>8</v>
      </c>
      <c r="K200" s="334"/>
      <c r="L200" s="344"/>
      <c r="M200" s="334"/>
      <c r="N200" s="334"/>
      <c r="O200" s="345"/>
      <c r="P200" s="334" t="s">
        <v>2818</v>
      </c>
      <c r="Q200" s="340"/>
      <c r="R200" s="349"/>
      <c r="S200" s="334"/>
      <c r="T200" s="334"/>
      <c r="U200" s="334"/>
      <c r="V200" s="334"/>
      <c r="W200" s="334"/>
      <c r="X200" s="334"/>
      <c r="Y200" s="334"/>
      <c r="Z200" s="334"/>
      <c r="AA200" s="334"/>
    </row>
    <row r="201" spans="1:27" ht="56.25" hidden="1">
      <c r="A201" s="334" t="s">
        <v>16</v>
      </c>
      <c r="B201" s="335" t="s">
        <v>587</v>
      </c>
      <c r="C201" s="334" t="s">
        <v>588</v>
      </c>
      <c r="D201" s="334" t="s">
        <v>604</v>
      </c>
      <c r="E201" s="348" t="s">
        <v>605</v>
      </c>
      <c r="F201" s="334" t="s">
        <v>2666</v>
      </c>
      <c r="G201" s="334" t="s">
        <v>62</v>
      </c>
      <c r="H201" s="334" t="s">
        <v>352</v>
      </c>
      <c r="I201" s="343">
        <v>1</v>
      </c>
      <c r="J201" s="334" t="s">
        <v>8</v>
      </c>
      <c r="K201" s="334"/>
      <c r="L201" s="344"/>
      <c r="M201" s="334"/>
      <c r="N201" s="334"/>
      <c r="O201" s="345"/>
      <c r="P201" s="334" t="s">
        <v>2818</v>
      </c>
      <c r="Q201" s="340"/>
      <c r="R201" s="349"/>
      <c r="S201" s="334"/>
      <c r="T201" s="334"/>
      <c r="U201" s="334"/>
      <c r="V201" s="334"/>
      <c r="W201" s="334"/>
      <c r="X201" s="334"/>
      <c r="Y201" s="334"/>
      <c r="Z201" s="334"/>
      <c r="AA201" s="334"/>
    </row>
    <row r="202" spans="1:27" ht="56.25" hidden="1">
      <c r="A202" s="334" t="s">
        <v>16</v>
      </c>
      <c r="B202" s="335" t="s">
        <v>587</v>
      </c>
      <c r="C202" s="334" t="s">
        <v>588</v>
      </c>
      <c r="D202" s="334" t="s">
        <v>606</v>
      </c>
      <c r="E202" s="348" t="s">
        <v>607</v>
      </c>
      <c r="F202" s="334" t="s">
        <v>2666</v>
      </c>
      <c r="G202" s="334" t="s">
        <v>62</v>
      </c>
      <c r="H202" s="334" t="s">
        <v>352</v>
      </c>
      <c r="I202" s="343">
        <v>1</v>
      </c>
      <c r="J202" s="334" t="s">
        <v>8</v>
      </c>
      <c r="K202" s="334"/>
      <c r="L202" s="344"/>
      <c r="M202" s="334"/>
      <c r="N202" s="334"/>
      <c r="O202" s="345"/>
      <c r="P202" s="334" t="s">
        <v>2819</v>
      </c>
      <c r="Q202" s="340"/>
      <c r="R202" s="349"/>
      <c r="S202" s="334"/>
      <c r="T202" s="334"/>
      <c r="U202" s="334"/>
      <c r="V202" s="334"/>
      <c r="W202" s="334"/>
      <c r="X202" s="334"/>
      <c r="Y202" s="334"/>
      <c r="Z202" s="334"/>
      <c r="AA202" s="334"/>
    </row>
    <row r="203" spans="1:27" ht="56.25" hidden="1">
      <c r="A203" s="334" t="s">
        <v>16</v>
      </c>
      <c r="B203" s="335" t="s">
        <v>587</v>
      </c>
      <c r="C203" s="334" t="s">
        <v>588</v>
      </c>
      <c r="D203" s="334" t="s">
        <v>608</v>
      </c>
      <c r="E203" s="348" t="s">
        <v>609</v>
      </c>
      <c r="F203" s="334" t="s">
        <v>2666</v>
      </c>
      <c r="G203" s="334" t="s">
        <v>62</v>
      </c>
      <c r="H203" s="334" t="s">
        <v>352</v>
      </c>
      <c r="I203" s="343">
        <v>1</v>
      </c>
      <c r="J203" s="334" t="s">
        <v>8</v>
      </c>
      <c r="K203" s="334"/>
      <c r="L203" s="344"/>
      <c r="M203" s="334"/>
      <c r="N203" s="334"/>
      <c r="O203" s="345"/>
      <c r="P203" s="334" t="s">
        <v>2818</v>
      </c>
      <c r="Q203" s="340"/>
      <c r="R203" s="349"/>
      <c r="S203" s="334"/>
      <c r="T203" s="334"/>
      <c r="U203" s="334"/>
      <c r="V203" s="334"/>
      <c r="W203" s="334"/>
      <c r="X203" s="334"/>
      <c r="Y203" s="334"/>
      <c r="Z203" s="334"/>
      <c r="AA203" s="334"/>
    </row>
    <row r="204" spans="1:27" ht="56.25" hidden="1">
      <c r="A204" s="334" t="s">
        <v>16</v>
      </c>
      <c r="B204" s="335" t="s">
        <v>587</v>
      </c>
      <c r="C204" s="334" t="s">
        <v>588</v>
      </c>
      <c r="D204" s="334" t="s">
        <v>610</v>
      </c>
      <c r="E204" s="334" t="s">
        <v>611</v>
      </c>
      <c r="F204" s="334" t="s">
        <v>2666</v>
      </c>
      <c r="G204" s="334" t="s">
        <v>62</v>
      </c>
      <c r="H204" s="334" t="s">
        <v>612</v>
      </c>
      <c r="I204" s="334" t="s">
        <v>110</v>
      </c>
      <c r="J204" s="334" t="s">
        <v>8</v>
      </c>
      <c r="K204" s="334"/>
      <c r="L204" s="344"/>
      <c r="M204" s="334"/>
      <c r="N204" s="334"/>
      <c r="O204" s="345"/>
      <c r="P204" s="334" t="s">
        <v>2819</v>
      </c>
      <c r="Q204" s="340"/>
      <c r="R204" s="349"/>
      <c r="S204" s="334"/>
      <c r="T204" s="334"/>
      <c r="U204" s="334"/>
      <c r="V204" s="334"/>
      <c r="W204" s="334"/>
      <c r="X204" s="334"/>
      <c r="Y204" s="334"/>
      <c r="Z204" s="334"/>
      <c r="AA204" s="334"/>
    </row>
    <row r="205" spans="1:27" s="327" customFormat="1" ht="78.75" hidden="1">
      <c r="A205" s="352" t="s">
        <v>16</v>
      </c>
      <c r="B205" s="393" t="s">
        <v>587</v>
      </c>
      <c r="C205" s="352" t="s">
        <v>613</v>
      </c>
      <c r="D205" s="352" t="s">
        <v>614</v>
      </c>
      <c r="E205" s="352" t="s">
        <v>615</v>
      </c>
      <c r="F205" s="352"/>
      <c r="G205" s="352" t="s">
        <v>71</v>
      </c>
      <c r="H205" s="352" t="s">
        <v>616</v>
      </c>
      <c r="I205" s="365">
        <v>1</v>
      </c>
      <c r="J205" s="352"/>
      <c r="K205" s="352"/>
      <c r="L205" s="362"/>
      <c r="M205" s="352"/>
      <c r="N205" s="352"/>
      <c r="O205" s="363"/>
      <c r="P205" s="352"/>
      <c r="Q205" s="340"/>
      <c r="R205" s="364"/>
      <c r="S205" s="352"/>
      <c r="T205" s="352"/>
      <c r="U205" s="352"/>
      <c r="V205" s="352"/>
      <c r="W205" s="352"/>
      <c r="X205" s="352"/>
      <c r="Y205" s="352"/>
      <c r="Z205" s="352"/>
      <c r="AA205" s="352"/>
    </row>
    <row r="206" spans="1:27" ht="78.75" hidden="1">
      <c r="A206" s="334" t="s">
        <v>16</v>
      </c>
      <c r="B206" s="335" t="s">
        <v>587</v>
      </c>
      <c r="C206" s="334" t="s">
        <v>613</v>
      </c>
      <c r="D206" s="334" t="s">
        <v>617</v>
      </c>
      <c r="E206" s="334" t="s">
        <v>615</v>
      </c>
      <c r="F206" s="334" t="s">
        <v>2676</v>
      </c>
      <c r="G206" s="334" t="s">
        <v>58</v>
      </c>
      <c r="H206" s="334" t="s">
        <v>428</v>
      </c>
      <c r="I206" s="343">
        <v>1</v>
      </c>
      <c r="J206" s="334" t="s">
        <v>8</v>
      </c>
      <c r="K206" s="334"/>
      <c r="L206" s="344"/>
      <c r="M206" s="334"/>
      <c r="N206" s="334"/>
      <c r="O206" s="345"/>
      <c r="P206" s="334" t="s">
        <v>2819</v>
      </c>
      <c r="Q206" s="340"/>
      <c r="R206" s="349"/>
      <c r="S206" s="334"/>
      <c r="T206" s="334"/>
      <c r="U206" s="334"/>
      <c r="V206" s="334"/>
      <c r="W206" s="334"/>
      <c r="X206" s="334"/>
      <c r="Y206" s="334"/>
      <c r="Z206" s="334"/>
      <c r="AA206" s="334"/>
    </row>
    <row r="207" spans="1:27" ht="63" hidden="1">
      <c r="A207" s="334" t="s">
        <v>16</v>
      </c>
      <c r="B207" s="335" t="s">
        <v>587</v>
      </c>
      <c r="C207" s="334" t="s">
        <v>613</v>
      </c>
      <c r="D207" s="334" t="s">
        <v>618</v>
      </c>
      <c r="E207" s="334" t="s">
        <v>619</v>
      </c>
      <c r="F207" s="334"/>
      <c r="G207" s="334" t="s">
        <v>71</v>
      </c>
      <c r="H207" s="334" t="s">
        <v>432</v>
      </c>
      <c r="I207" s="334">
        <v>2030</v>
      </c>
      <c r="J207" s="334"/>
      <c r="K207" s="334"/>
      <c r="L207" s="344"/>
      <c r="M207" s="334"/>
      <c r="N207" s="334"/>
      <c r="O207" s="345"/>
      <c r="P207" s="334"/>
      <c r="Q207" s="340"/>
      <c r="R207" s="349"/>
      <c r="S207" s="334"/>
      <c r="T207" s="334"/>
      <c r="U207" s="334"/>
      <c r="V207" s="334"/>
      <c r="W207" s="334"/>
      <c r="X207" s="334"/>
      <c r="Y207" s="334"/>
      <c r="Z207" s="334"/>
      <c r="AA207" s="334"/>
    </row>
    <row r="208" spans="1:27" ht="78.75" hidden="1">
      <c r="A208" s="334" t="s">
        <v>16</v>
      </c>
      <c r="B208" s="335" t="s">
        <v>587</v>
      </c>
      <c r="C208" s="334" t="s">
        <v>620</v>
      </c>
      <c r="D208" s="334" t="s">
        <v>621</v>
      </c>
      <c r="E208" s="334" t="s">
        <v>622</v>
      </c>
      <c r="F208" s="334" t="s">
        <v>2676</v>
      </c>
      <c r="G208" s="334" t="s">
        <v>58</v>
      </c>
      <c r="H208" s="334" t="s">
        <v>623</v>
      </c>
      <c r="I208" s="343">
        <v>1</v>
      </c>
      <c r="J208" s="334" t="s">
        <v>8</v>
      </c>
      <c r="K208" s="334"/>
      <c r="L208" s="344"/>
      <c r="M208" s="334"/>
      <c r="N208" s="334"/>
      <c r="O208" s="345"/>
      <c r="P208" s="334" t="s">
        <v>2819</v>
      </c>
      <c r="Q208" s="340"/>
      <c r="R208" s="349"/>
      <c r="S208" s="334"/>
      <c r="T208" s="334"/>
      <c r="U208" s="334"/>
      <c r="V208" s="334"/>
      <c r="W208" s="334"/>
      <c r="X208" s="334"/>
      <c r="Y208" s="334"/>
      <c r="Z208" s="334"/>
      <c r="AA208" s="334"/>
    </row>
    <row r="209" spans="1:27" ht="78.75" hidden="1">
      <c r="A209" s="334" t="s">
        <v>16</v>
      </c>
      <c r="B209" s="335" t="s">
        <v>587</v>
      </c>
      <c r="C209" s="334" t="s">
        <v>624</v>
      </c>
      <c r="D209" s="334" t="s">
        <v>625</v>
      </c>
      <c r="E209" s="334" t="s">
        <v>626</v>
      </c>
      <c r="F209" s="334" t="s">
        <v>2658</v>
      </c>
      <c r="G209" s="334" t="s">
        <v>62</v>
      </c>
      <c r="H209" s="334" t="s">
        <v>627</v>
      </c>
      <c r="I209" s="343">
        <v>0.5</v>
      </c>
      <c r="J209" s="334" t="s">
        <v>8</v>
      </c>
      <c r="K209" s="334"/>
      <c r="L209" s="344"/>
      <c r="M209" s="334"/>
      <c r="N209" s="334"/>
      <c r="O209" s="345"/>
      <c r="P209" s="334" t="s">
        <v>2819</v>
      </c>
      <c r="Q209" s="340"/>
      <c r="R209" s="349"/>
      <c r="S209" s="334"/>
      <c r="T209" s="334"/>
      <c r="U209" s="334"/>
      <c r="V209" s="334"/>
      <c r="W209" s="334"/>
      <c r="X209" s="334"/>
      <c r="Y209" s="334"/>
      <c r="Z209" s="334"/>
      <c r="AA209" s="334"/>
    </row>
    <row r="210" spans="1:27" ht="78.75" hidden="1">
      <c r="A210" s="334" t="s">
        <v>16</v>
      </c>
      <c r="B210" s="335" t="s">
        <v>587</v>
      </c>
      <c r="C210" s="334" t="s">
        <v>624</v>
      </c>
      <c r="D210" s="334" t="s">
        <v>628</v>
      </c>
      <c r="E210" s="334" t="s">
        <v>629</v>
      </c>
      <c r="F210" s="334" t="s">
        <v>2777</v>
      </c>
      <c r="G210" s="334" t="s">
        <v>62</v>
      </c>
      <c r="H210" s="334" t="s">
        <v>476</v>
      </c>
      <c r="I210" s="334" t="s">
        <v>210</v>
      </c>
      <c r="J210" s="334" t="s">
        <v>8</v>
      </c>
      <c r="K210" s="334"/>
      <c r="L210" s="344"/>
      <c r="M210" s="334"/>
      <c r="N210" s="334"/>
      <c r="O210" s="345"/>
      <c r="P210" s="334" t="s">
        <v>2819</v>
      </c>
      <c r="Q210" s="340"/>
      <c r="R210" s="349"/>
      <c r="S210" s="334"/>
      <c r="T210" s="334"/>
      <c r="U210" s="334"/>
      <c r="V210" s="334"/>
      <c r="W210" s="334"/>
      <c r="X210" s="334"/>
      <c r="Y210" s="334"/>
      <c r="Z210" s="334"/>
      <c r="AA210" s="334"/>
    </row>
    <row r="211" spans="1:27" ht="94.5" hidden="1">
      <c r="A211" s="334" t="s">
        <v>16</v>
      </c>
      <c r="B211" s="335" t="s">
        <v>587</v>
      </c>
      <c r="C211" s="334" t="s">
        <v>624</v>
      </c>
      <c r="D211" s="334" t="s">
        <v>630</v>
      </c>
      <c r="E211" s="334" t="s">
        <v>631</v>
      </c>
      <c r="F211" s="334" t="s">
        <v>2777</v>
      </c>
      <c r="G211" s="334" t="s">
        <v>62</v>
      </c>
      <c r="H211" s="334" t="s">
        <v>476</v>
      </c>
      <c r="I211" s="334" t="s">
        <v>210</v>
      </c>
      <c r="J211" s="334" t="s">
        <v>1191</v>
      </c>
      <c r="K211" s="334" t="s">
        <v>2820</v>
      </c>
      <c r="L211" s="344"/>
      <c r="M211" s="334"/>
      <c r="N211" s="334"/>
      <c r="O211" s="345"/>
      <c r="P211" s="334"/>
      <c r="Q211" s="340"/>
      <c r="R211" s="349"/>
      <c r="S211" s="334"/>
      <c r="T211" s="334"/>
      <c r="U211" s="334"/>
      <c r="V211" s="334"/>
      <c r="W211" s="334"/>
      <c r="X211" s="334"/>
      <c r="Y211" s="334"/>
      <c r="Z211" s="334"/>
      <c r="AA211" s="334"/>
    </row>
    <row r="212" spans="1:27" ht="252" hidden="1">
      <c r="A212" s="334" t="s">
        <v>16</v>
      </c>
      <c r="B212" s="335" t="s">
        <v>587</v>
      </c>
      <c r="C212" s="334" t="s">
        <v>624</v>
      </c>
      <c r="D212" s="334" t="s">
        <v>632</v>
      </c>
      <c r="E212" s="334" t="s">
        <v>633</v>
      </c>
      <c r="F212" s="334" t="s">
        <v>2777</v>
      </c>
      <c r="G212" s="334" t="s">
        <v>62</v>
      </c>
      <c r="H212" s="334" t="s">
        <v>634</v>
      </c>
      <c r="I212" s="343">
        <v>1</v>
      </c>
      <c r="J212" s="334" t="s">
        <v>1191</v>
      </c>
      <c r="K212" s="334" t="s">
        <v>2821</v>
      </c>
      <c r="L212" s="344"/>
      <c r="M212" s="334"/>
      <c r="N212" s="334"/>
      <c r="O212" s="345"/>
      <c r="P212" s="334"/>
      <c r="Q212" s="340"/>
      <c r="R212" s="349"/>
      <c r="S212" s="334"/>
      <c r="T212" s="334"/>
      <c r="U212" s="334"/>
      <c r="V212" s="334"/>
      <c r="W212" s="334"/>
      <c r="X212" s="334"/>
      <c r="Y212" s="334"/>
      <c r="Z212" s="334"/>
      <c r="AA212" s="334"/>
    </row>
    <row r="213" spans="1:27" ht="78.75" hidden="1">
      <c r="A213" s="334" t="s">
        <v>16</v>
      </c>
      <c r="B213" s="335" t="s">
        <v>587</v>
      </c>
      <c r="C213" s="334" t="s">
        <v>624</v>
      </c>
      <c r="D213" s="334" t="s">
        <v>635</v>
      </c>
      <c r="E213" s="334" t="s">
        <v>636</v>
      </c>
      <c r="F213" s="334"/>
      <c r="G213" s="334" t="s">
        <v>71</v>
      </c>
      <c r="H213" s="334" t="s">
        <v>637</v>
      </c>
      <c r="I213" s="334" t="s">
        <v>638</v>
      </c>
      <c r="J213" s="334"/>
      <c r="K213" s="334"/>
      <c r="L213" s="344"/>
      <c r="M213" s="334"/>
      <c r="N213" s="334"/>
      <c r="O213" s="345"/>
      <c r="P213" s="334"/>
      <c r="Q213" s="340"/>
      <c r="R213" s="349"/>
      <c r="S213" s="334"/>
      <c r="T213" s="334"/>
      <c r="U213" s="334"/>
      <c r="V213" s="334"/>
      <c r="W213" s="334"/>
      <c r="X213" s="334"/>
      <c r="Y213" s="334"/>
      <c r="Z213" s="334"/>
      <c r="AA213" s="334"/>
    </row>
    <row r="214" spans="1:27" hidden="1">
      <c r="A214" s="394" t="s">
        <v>639</v>
      </c>
      <c r="B214" s="395"/>
      <c r="C214" s="396"/>
      <c r="D214" s="396"/>
      <c r="E214" s="396"/>
      <c r="F214" s="396"/>
      <c r="G214" s="396"/>
      <c r="H214" s="396"/>
      <c r="I214" s="396"/>
      <c r="J214" s="396"/>
      <c r="K214" s="396"/>
      <c r="L214" s="396"/>
      <c r="M214" s="396"/>
      <c r="N214" s="396"/>
      <c r="O214" s="396"/>
      <c r="P214" s="397"/>
      <c r="Q214" s="398"/>
      <c r="R214" s="399"/>
      <c r="S214" s="396"/>
      <c r="T214" s="396"/>
      <c r="U214" s="396"/>
      <c r="V214" s="396"/>
      <c r="W214" s="396"/>
      <c r="X214" s="396"/>
      <c r="Y214" s="396"/>
      <c r="Z214" s="396"/>
      <c r="AA214" s="396"/>
    </row>
    <row r="215" spans="1:27" ht="110.25" hidden="1">
      <c r="A215" s="334" t="s">
        <v>18</v>
      </c>
      <c r="B215" s="335" t="s">
        <v>54</v>
      </c>
      <c r="C215" s="334" t="s">
        <v>640</v>
      </c>
      <c r="D215" s="334" t="s">
        <v>641</v>
      </c>
      <c r="E215" s="334" t="s">
        <v>642</v>
      </c>
      <c r="F215" s="334" t="s">
        <v>2658</v>
      </c>
      <c r="G215" s="334" t="s">
        <v>62</v>
      </c>
      <c r="H215" s="334" t="s">
        <v>484</v>
      </c>
      <c r="I215" s="334" t="s">
        <v>485</v>
      </c>
      <c r="J215" s="334" t="s">
        <v>1191</v>
      </c>
      <c r="K215" s="334" t="s">
        <v>2822</v>
      </c>
      <c r="L215" s="344"/>
      <c r="M215" s="334"/>
      <c r="N215" s="334"/>
      <c r="O215" s="345"/>
      <c r="P215" s="334"/>
      <c r="Q215" s="340"/>
      <c r="R215" s="349"/>
      <c r="S215" s="334"/>
      <c r="T215" s="334"/>
      <c r="U215" s="334"/>
      <c r="V215" s="334"/>
      <c r="W215" s="334"/>
      <c r="X215" s="334"/>
      <c r="Y215" s="334"/>
      <c r="Z215" s="334"/>
      <c r="AA215" s="334"/>
    </row>
    <row r="216" spans="1:27" ht="94.5" hidden="1">
      <c r="A216" s="334" t="s">
        <v>18</v>
      </c>
      <c r="B216" s="335" t="s">
        <v>54</v>
      </c>
      <c r="C216" s="334" t="s">
        <v>643</v>
      </c>
      <c r="D216" s="334" t="s">
        <v>644</v>
      </c>
      <c r="E216" s="334" t="s">
        <v>645</v>
      </c>
      <c r="F216" s="334" t="s">
        <v>2676</v>
      </c>
      <c r="G216" s="334" t="s">
        <v>62</v>
      </c>
      <c r="H216" s="334" t="s">
        <v>646</v>
      </c>
      <c r="I216" s="334" t="s">
        <v>85</v>
      </c>
      <c r="J216" s="334" t="s">
        <v>1090</v>
      </c>
      <c r="K216" s="334" t="s">
        <v>2823</v>
      </c>
      <c r="L216" s="344"/>
      <c r="M216" s="334"/>
      <c r="N216" s="334"/>
      <c r="O216" s="345"/>
      <c r="P216" s="334" t="s">
        <v>2824</v>
      </c>
      <c r="Q216" s="340"/>
      <c r="R216" s="349"/>
      <c r="S216" s="334"/>
      <c r="T216" s="334"/>
      <c r="U216" s="334"/>
      <c r="V216" s="334"/>
      <c r="W216" s="334"/>
      <c r="X216" s="334"/>
      <c r="Y216" s="334"/>
      <c r="Z216" s="334"/>
      <c r="AA216" s="334"/>
    </row>
    <row r="217" spans="1:27" ht="78.75" hidden="1">
      <c r="A217" s="334" t="s">
        <v>18</v>
      </c>
      <c r="B217" s="335" t="s">
        <v>54</v>
      </c>
      <c r="C217" s="334" t="s">
        <v>643</v>
      </c>
      <c r="D217" s="334" t="s">
        <v>647</v>
      </c>
      <c r="E217" s="334" t="s">
        <v>648</v>
      </c>
      <c r="F217" s="334"/>
      <c r="G217" s="334" t="s">
        <v>71</v>
      </c>
      <c r="H217" s="334" t="s">
        <v>649</v>
      </c>
      <c r="I217" s="343">
        <v>1</v>
      </c>
      <c r="J217" s="334"/>
      <c r="K217" s="334"/>
      <c r="L217" s="344"/>
      <c r="M217" s="334"/>
      <c r="N217" s="334"/>
      <c r="O217" s="345"/>
      <c r="P217" s="334"/>
      <c r="Q217" s="340"/>
      <c r="R217" s="349"/>
      <c r="S217" s="334"/>
      <c r="T217" s="334"/>
      <c r="U217" s="334"/>
      <c r="V217" s="334"/>
      <c r="W217" s="334"/>
      <c r="X217" s="334"/>
      <c r="Y217" s="334"/>
      <c r="Z217" s="334"/>
      <c r="AA217" s="334"/>
    </row>
    <row r="218" spans="1:27" ht="63" hidden="1">
      <c r="A218" s="334" t="s">
        <v>18</v>
      </c>
      <c r="B218" s="335" t="s">
        <v>54</v>
      </c>
      <c r="C218" s="334" t="s">
        <v>643</v>
      </c>
      <c r="D218" s="334" t="s">
        <v>650</v>
      </c>
      <c r="E218" s="334" t="s">
        <v>651</v>
      </c>
      <c r="F218" s="334"/>
      <c r="G218" s="334" t="s">
        <v>71</v>
      </c>
      <c r="H218" s="334" t="s">
        <v>652</v>
      </c>
      <c r="I218" s="343">
        <v>1</v>
      </c>
      <c r="J218" s="334"/>
      <c r="K218" s="334"/>
      <c r="L218" s="344"/>
      <c r="M218" s="334"/>
      <c r="N218" s="334"/>
      <c r="O218" s="345"/>
      <c r="P218" s="334"/>
      <c r="Q218" s="340"/>
      <c r="R218" s="349"/>
      <c r="S218" s="334"/>
      <c r="T218" s="334"/>
      <c r="U218" s="334"/>
      <c r="V218" s="334"/>
      <c r="W218" s="334"/>
      <c r="X218" s="334"/>
      <c r="Y218" s="334"/>
      <c r="Z218" s="334"/>
      <c r="AA218" s="334"/>
    </row>
    <row r="219" spans="1:27" ht="63" hidden="1">
      <c r="A219" s="334" t="s">
        <v>18</v>
      </c>
      <c r="B219" s="335" t="s">
        <v>54</v>
      </c>
      <c r="C219" s="334" t="s">
        <v>643</v>
      </c>
      <c r="D219" s="334" t="s">
        <v>653</v>
      </c>
      <c r="E219" s="334" t="s">
        <v>654</v>
      </c>
      <c r="F219" s="334"/>
      <c r="G219" s="334" t="s">
        <v>71</v>
      </c>
      <c r="H219" s="334" t="s">
        <v>655</v>
      </c>
      <c r="I219" s="343">
        <v>1</v>
      </c>
      <c r="J219" s="334"/>
      <c r="K219" s="334"/>
      <c r="L219" s="344"/>
      <c r="M219" s="334"/>
      <c r="N219" s="334"/>
      <c r="O219" s="345"/>
      <c r="P219" s="334"/>
      <c r="Q219" s="340"/>
      <c r="R219" s="349"/>
      <c r="S219" s="334"/>
      <c r="T219" s="334"/>
      <c r="U219" s="334"/>
      <c r="V219" s="334"/>
      <c r="W219" s="334"/>
      <c r="X219" s="334"/>
      <c r="Y219" s="334"/>
      <c r="Z219" s="334"/>
      <c r="AA219" s="334"/>
    </row>
    <row r="220" spans="1:27" ht="204.75" hidden="1">
      <c r="A220" s="334" t="s">
        <v>18</v>
      </c>
      <c r="B220" s="335" t="s">
        <v>54</v>
      </c>
      <c r="C220" s="334" t="s">
        <v>643</v>
      </c>
      <c r="D220" s="334" t="s">
        <v>656</v>
      </c>
      <c r="E220" s="334" t="s">
        <v>657</v>
      </c>
      <c r="F220" s="334" t="s">
        <v>2825</v>
      </c>
      <c r="G220" s="334" t="s">
        <v>62</v>
      </c>
      <c r="H220" s="334" t="s">
        <v>658</v>
      </c>
      <c r="I220" s="334" t="s">
        <v>659</v>
      </c>
      <c r="J220" s="334" t="s">
        <v>1090</v>
      </c>
      <c r="K220" s="334" t="s">
        <v>2826</v>
      </c>
      <c r="L220" s="344"/>
      <c r="M220" s="334"/>
      <c r="N220" s="334"/>
      <c r="O220" s="345"/>
      <c r="P220" s="334"/>
      <c r="Q220" s="340"/>
      <c r="R220" s="349"/>
      <c r="S220" s="334"/>
      <c r="T220" s="334"/>
      <c r="U220" s="334"/>
      <c r="V220" s="334"/>
      <c r="W220" s="334"/>
      <c r="X220" s="334"/>
      <c r="Y220" s="334"/>
      <c r="Z220" s="334"/>
      <c r="AA220" s="334"/>
    </row>
    <row r="221" spans="1:27" ht="47.25" hidden="1">
      <c r="A221" s="334" t="s">
        <v>18</v>
      </c>
      <c r="B221" s="335" t="s">
        <v>54</v>
      </c>
      <c r="C221" s="334" t="s">
        <v>660</v>
      </c>
      <c r="D221" s="334" t="s">
        <v>661</v>
      </c>
      <c r="E221" s="334" t="s">
        <v>529</v>
      </c>
      <c r="F221" s="334" t="s">
        <v>2676</v>
      </c>
      <c r="G221" s="334" t="s">
        <v>62</v>
      </c>
      <c r="H221" s="334" t="s">
        <v>530</v>
      </c>
      <c r="I221" s="334" t="s">
        <v>135</v>
      </c>
      <c r="J221" s="334" t="s">
        <v>8</v>
      </c>
      <c r="K221" s="334"/>
      <c r="L221" s="344"/>
      <c r="M221" s="334"/>
      <c r="N221" s="334"/>
      <c r="O221" s="345"/>
      <c r="P221" s="334" t="s">
        <v>2819</v>
      </c>
      <c r="Q221" s="340"/>
      <c r="R221" s="349"/>
      <c r="S221" s="334"/>
      <c r="T221" s="334"/>
      <c r="U221" s="334"/>
      <c r="V221" s="334"/>
      <c r="W221" s="334"/>
      <c r="X221" s="334"/>
      <c r="Y221" s="334"/>
      <c r="Z221" s="334"/>
      <c r="AA221" s="334"/>
    </row>
    <row r="222" spans="1:27" ht="94.5" hidden="1">
      <c r="A222" s="334" t="s">
        <v>18</v>
      </c>
      <c r="B222" s="335" t="s">
        <v>54</v>
      </c>
      <c r="C222" s="334" t="s">
        <v>660</v>
      </c>
      <c r="D222" s="334" t="s">
        <v>662</v>
      </c>
      <c r="E222" s="334" t="s">
        <v>524</v>
      </c>
      <c r="F222" s="334" t="s">
        <v>2676</v>
      </c>
      <c r="G222" s="334" t="s">
        <v>62</v>
      </c>
      <c r="H222" s="334" t="s">
        <v>525</v>
      </c>
      <c r="I222" s="334" t="s">
        <v>526</v>
      </c>
      <c r="J222" s="334" t="s">
        <v>8</v>
      </c>
      <c r="K222" s="334"/>
      <c r="L222" s="344"/>
      <c r="M222" s="334"/>
      <c r="N222" s="334"/>
      <c r="O222" s="345"/>
      <c r="P222" s="334" t="s">
        <v>2819</v>
      </c>
      <c r="Q222" s="340"/>
      <c r="R222" s="349"/>
      <c r="S222" s="334"/>
      <c r="T222" s="334"/>
      <c r="U222" s="334"/>
      <c r="V222" s="334"/>
      <c r="W222" s="334"/>
      <c r="X222" s="334"/>
      <c r="Y222" s="334"/>
      <c r="Z222" s="334"/>
      <c r="AA222" s="334"/>
    </row>
    <row r="223" spans="1:27" ht="157.5" hidden="1">
      <c r="A223" s="334" t="s">
        <v>18</v>
      </c>
      <c r="B223" s="335" t="s">
        <v>195</v>
      </c>
      <c r="C223" s="334" t="s">
        <v>663</v>
      </c>
      <c r="D223" s="334" t="s">
        <v>664</v>
      </c>
      <c r="E223" s="334" t="s">
        <v>665</v>
      </c>
      <c r="F223" s="334" t="s">
        <v>2676</v>
      </c>
      <c r="G223" s="334" t="s">
        <v>62</v>
      </c>
      <c r="H223" s="334" t="s">
        <v>666</v>
      </c>
      <c r="I223" s="334" t="s">
        <v>667</v>
      </c>
      <c r="J223" s="334" t="s">
        <v>1090</v>
      </c>
      <c r="K223" s="334" t="s">
        <v>2827</v>
      </c>
      <c r="L223" s="344"/>
      <c r="M223" s="334"/>
      <c r="N223" s="334"/>
      <c r="O223" s="345"/>
      <c r="P223" s="334" t="s">
        <v>2828</v>
      </c>
      <c r="Q223" s="340"/>
      <c r="R223" s="349"/>
      <c r="S223" s="334"/>
      <c r="T223" s="334"/>
      <c r="U223" s="334"/>
      <c r="V223" s="334"/>
      <c r="W223" s="334"/>
      <c r="X223" s="334"/>
      <c r="Y223" s="334"/>
      <c r="Z223" s="334"/>
      <c r="AA223" s="334"/>
    </row>
    <row r="224" spans="1:27" ht="78.75" hidden="1">
      <c r="A224" s="334" t="s">
        <v>18</v>
      </c>
      <c r="B224" s="335" t="s">
        <v>195</v>
      </c>
      <c r="C224" s="334" t="s">
        <v>663</v>
      </c>
      <c r="D224" s="334" t="s">
        <v>668</v>
      </c>
      <c r="E224" s="334" t="s">
        <v>669</v>
      </c>
      <c r="F224" s="334" t="s">
        <v>2676</v>
      </c>
      <c r="G224" s="334" t="s">
        <v>62</v>
      </c>
      <c r="H224" s="334" t="s">
        <v>670</v>
      </c>
      <c r="I224" s="334" t="s">
        <v>671</v>
      </c>
      <c r="J224" s="334" t="s">
        <v>8</v>
      </c>
      <c r="K224" s="334"/>
      <c r="L224" s="344"/>
      <c r="M224" s="334"/>
      <c r="N224" s="334"/>
      <c r="O224" s="345"/>
      <c r="P224" s="334" t="s">
        <v>2819</v>
      </c>
      <c r="Q224" s="340"/>
      <c r="R224" s="349"/>
      <c r="S224" s="334"/>
      <c r="T224" s="334"/>
      <c r="U224" s="334"/>
      <c r="V224" s="334"/>
      <c r="W224" s="334"/>
      <c r="X224" s="334"/>
      <c r="Y224" s="334"/>
      <c r="Z224" s="334"/>
      <c r="AA224" s="334"/>
    </row>
    <row r="225" spans="1:27" ht="94.5" hidden="1">
      <c r="A225" s="334" t="s">
        <v>18</v>
      </c>
      <c r="B225" s="335" t="s">
        <v>195</v>
      </c>
      <c r="C225" s="334" t="s">
        <v>663</v>
      </c>
      <c r="D225" s="334" t="s">
        <v>672</v>
      </c>
      <c r="E225" s="334" t="s">
        <v>673</v>
      </c>
      <c r="F225" s="334" t="s">
        <v>2658</v>
      </c>
      <c r="G225" s="334" t="s">
        <v>62</v>
      </c>
      <c r="H225" s="334" t="s">
        <v>537</v>
      </c>
      <c r="I225" s="334" t="s">
        <v>538</v>
      </c>
      <c r="J225" s="334" t="s">
        <v>8</v>
      </c>
      <c r="K225" s="334" t="s">
        <v>2829</v>
      </c>
      <c r="L225" s="344"/>
      <c r="M225" s="334"/>
      <c r="N225" s="334"/>
      <c r="O225" s="345"/>
      <c r="P225" s="334"/>
      <c r="Q225" s="340"/>
      <c r="R225" s="349"/>
      <c r="S225" s="334"/>
      <c r="T225" s="334"/>
      <c r="U225" s="334"/>
      <c r="V225" s="334"/>
      <c r="W225" s="334"/>
      <c r="X225" s="334"/>
      <c r="Y225" s="334"/>
      <c r="Z225" s="334"/>
      <c r="AA225" s="334"/>
    </row>
    <row r="226" spans="1:27" ht="204.75" hidden="1">
      <c r="A226" s="334" t="s">
        <v>18</v>
      </c>
      <c r="B226" s="335" t="s">
        <v>195</v>
      </c>
      <c r="C226" s="334" t="s">
        <v>674</v>
      </c>
      <c r="D226" s="334" t="s">
        <v>675</v>
      </c>
      <c r="E226" s="334" t="s">
        <v>676</v>
      </c>
      <c r="F226" s="334" t="s">
        <v>2658</v>
      </c>
      <c r="G226" s="334" t="s">
        <v>62</v>
      </c>
      <c r="H226" s="334" t="s">
        <v>677</v>
      </c>
      <c r="I226" s="343">
        <v>1</v>
      </c>
      <c r="J226" s="334" t="s">
        <v>1090</v>
      </c>
      <c r="K226" s="334" t="s">
        <v>2830</v>
      </c>
      <c r="L226" s="344" t="s">
        <v>2831</v>
      </c>
      <c r="M226" s="334"/>
      <c r="N226" s="334" t="s">
        <v>10</v>
      </c>
      <c r="O226" s="345"/>
      <c r="P226" s="334" t="s">
        <v>2806</v>
      </c>
      <c r="Q226" s="340"/>
      <c r="R226" s="349"/>
      <c r="S226" s="334"/>
      <c r="T226" s="334"/>
      <c r="U226" s="334"/>
      <c r="V226" s="334"/>
      <c r="W226" s="334"/>
      <c r="X226" s="334"/>
      <c r="Y226" s="334"/>
      <c r="Z226" s="334"/>
      <c r="AA226" s="334"/>
    </row>
    <row r="227" spans="1:27" ht="78.75" hidden="1">
      <c r="A227" s="334" t="s">
        <v>18</v>
      </c>
      <c r="B227" s="335" t="s">
        <v>195</v>
      </c>
      <c r="C227" s="334" t="s">
        <v>678</v>
      </c>
      <c r="D227" s="334" t="s">
        <v>679</v>
      </c>
      <c r="E227" s="354" t="s">
        <v>253</v>
      </c>
      <c r="F227" s="336"/>
      <c r="G227" s="336" t="s">
        <v>62</v>
      </c>
      <c r="H227" s="336"/>
      <c r="I227" s="337"/>
      <c r="J227" s="336"/>
      <c r="K227" s="336"/>
      <c r="L227" s="338"/>
      <c r="M227" s="336"/>
      <c r="N227" s="336"/>
      <c r="O227" s="339"/>
      <c r="P227" s="336"/>
      <c r="Q227" s="340"/>
      <c r="R227" s="341"/>
      <c r="S227" s="336"/>
      <c r="T227" s="336"/>
      <c r="U227" s="336"/>
      <c r="V227" s="336"/>
      <c r="W227" s="336"/>
      <c r="X227" s="336"/>
      <c r="Y227" s="336"/>
      <c r="Z227" s="336"/>
      <c r="AA227" s="336"/>
    </row>
    <row r="228" spans="1:27" ht="82.5" hidden="1" customHeight="1">
      <c r="A228" s="334" t="s">
        <v>18</v>
      </c>
      <c r="B228" s="335" t="s">
        <v>195</v>
      </c>
      <c r="C228" s="334" t="s">
        <v>678</v>
      </c>
      <c r="D228" s="334" t="s">
        <v>680</v>
      </c>
      <c r="E228" s="348" t="s">
        <v>681</v>
      </c>
      <c r="F228" s="334" t="s">
        <v>2658</v>
      </c>
      <c r="G228" s="334" t="s">
        <v>62</v>
      </c>
      <c r="H228" s="334" t="s">
        <v>254</v>
      </c>
      <c r="I228" s="343">
        <v>1</v>
      </c>
      <c r="J228" s="334" t="s">
        <v>1090</v>
      </c>
      <c r="K228" s="334" t="s">
        <v>2832</v>
      </c>
      <c r="L228" s="344"/>
      <c r="M228" s="334"/>
      <c r="N228" s="334"/>
      <c r="O228" s="345"/>
      <c r="P228" s="334" t="s">
        <v>2833</v>
      </c>
      <c r="Q228" s="340"/>
      <c r="R228" s="349"/>
      <c r="S228" s="334"/>
      <c r="T228" s="334"/>
      <c r="U228" s="334"/>
      <c r="V228" s="334"/>
      <c r="W228" s="334"/>
      <c r="X228" s="334"/>
      <c r="Y228" s="334"/>
      <c r="Z228" s="334"/>
      <c r="AA228" s="334"/>
    </row>
    <row r="229" spans="1:27" ht="189" hidden="1">
      <c r="A229" s="334" t="s">
        <v>18</v>
      </c>
      <c r="B229" s="335" t="s">
        <v>195</v>
      </c>
      <c r="C229" s="334" t="s">
        <v>678</v>
      </c>
      <c r="D229" s="334" t="s">
        <v>682</v>
      </c>
      <c r="E229" s="348" t="s">
        <v>548</v>
      </c>
      <c r="F229" s="334" t="s">
        <v>2658</v>
      </c>
      <c r="G229" s="334" t="s">
        <v>62</v>
      </c>
      <c r="H229" s="334" t="s">
        <v>549</v>
      </c>
      <c r="I229" s="343">
        <v>1</v>
      </c>
      <c r="J229" s="334" t="s">
        <v>1191</v>
      </c>
      <c r="K229" s="334" t="s">
        <v>2805</v>
      </c>
      <c r="L229" s="344"/>
      <c r="M229" s="334"/>
      <c r="N229" s="334"/>
      <c r="O229" s="345"/>
      <c r="P229" s="334"/>
      <c r="Q229" s="340"/>
      <c r="R229" s="349"/>
      <c r="S229" s="334"/>
      <c r="T229" s="334"/>
      <c r="U229" s="334"/>
      <c r="V229" s="334"/>
      <c r="W229" s="334"/>
      <c r="X229" s="334"/>
      <c r="Y229" s="334"/>
      <c r="Z229" s="334"/>
      <c r="AA229" s="334"/>
    </row>
    <row r="230" spans="1:27" ht="173.25" hidden="1">
      <c r="A230" s="334" t="s">
        <v>18</v>
      </c>
      <c r="B230" s="335" t="s">
        <v>195</v>
      </c>
      <c r="C230" s="334" t="s">
        <v>678</v>
      </c>
      <c r="D230" s="334" t="s">
        <v>683</v>
      </c>
      <c r="E230" s="348" t="s">
        <v>684</v>
      </c>
      <c r="F230" s="334" t="s">
        <v>2658</v>
      </c>
      <c r="G230" s="334" t="s">
        <v>62</v>
      </c>
      <c r="H230" s="334" t="s">
        <v>685</v>
      </c>
      <c r="I230" s="343">
        <v>1</v>
      </c>
      <c r="J230" s="334" t="s">
        <v>1191</v>
      </c>
      <c r="K230" s="334" t="s">
        <v>2806</v>
      </c>
      <c r="L230" s="344" t="s">
        <v>2387</v>
      </c>
      <c r="M230" s="334"/>
      <c r="N230" s="334"/>
      <c r="O230" s="345"/>
      <c r="P230" s="334"/>
      <c r="Q230" s="340"/>
      <c r="R230" s="349"/>
      <c r="S230" s="334"/>
      <c r="T230" s="334"/>
      <c r="U230" s="334"/>
      <c r="V230" s="334"/>
      <c r="W230" s="334"/>
      <c r="X230" s="334"/>
      <c r="Y230" s="334"/>
      <c r="Z230" s="334"/>
      <c r="AA230" s="334"/>
    </row>
    <row r="231" spans="1:27" ht="409.5" hidden="1">
      <c r="A231" s="334" t="s">
        <v>18</v>
      </c>
      <c r="B231" s="335" t="s">
        <v>195</v>
      </c>
      <c r="C231" s="334" t="s">
        <v>686</v>
      </c>
      <c r="D231" s="334" t="s">
        <v>687</v>
      </c>
      <c r="E231" s="334" t="s">
        <v>688</v>
      </c>
      <c r="F231" s="334" t="s">
        <v>2658</v>
      </c>
      <c r="G231" s="334" t="s">
        <v>62</v>
      </c>
      <c r="H231" s="334" t="s">
        <v>259</v>
      </c>
      <c r="I231" s="334" t="s">
        <v>210</v>
      </c>
      <c r="J231" s="334" t="s">
        <v>1090</v>
      </c>
      <c r="K231" s="334" t="s">
        <v>2834</v>
      </c>
      <c r="L231" s="344"/>
      <c r="M231" s="334"/>
      <c r="N231" s="334"/>
      <c r="O231" s="345"/>
      <c r="P231" s="334"/>
      <c r="Q231" s="340"/>
      <c r="R231" s="349"/>
      <c r="S231" s="334"/>
      <c r="T231" s="334"/>
      <c r="U231" s="334"/>
      <c r="V231" s="334"/>
      <c r="W231" s="334"/>
      <c r="X231" s="334"/>
      <c r="Y231" s="334"/>
      <c r="Z231" s="334"/>
      <c r="AA231" s="334"/>
    </row>
    <row r="232" spans="1:27" ht="267.75" hidden="1">
      <c r="A232" s="334" t="s">
        <v>18</v>
      </c>
      <c r="B232" s="335" t="s">
        <v>274</v>
      </c>
      <c r="C232" s="334" t="s">
        <v>689</v>
      </c>
      <c r="D232" s="334" t="s">
        <v>690</v>
      </c>
      <c r="E232" s="334" t="s">
        <v>691</v>
      </c>
      <c r="F232" s="334" t="s">
        <v>2666</v>
      </c>
      <c r="G232" s="334" t="s">
        <v>62</v>
      </c>
      <c r="H232" s="334" t="s">
        <v>692</v>
      </c>
      <c r="I232" s="343">
        <v>1</v>
      </c>
      <c r="J232" s="334" t="s">
        <v>1191</v>
      </c>
      <c r="K232" s="334" t="s">
        <v>2835</v>
      </c>
      <c r="L232" s="344" t="s">
        <v>2329</v>
      </c>
      <c r="M232" s="334" t="s">
        <v>12</v>
      </c>
      <c r="N232" s="334"/>
      <c r="O232" s="345" t="s">
        <v>2836</v>
      </c>
      <c r="P232" s="334" t="s">
        <v>2837</v>
      </c>
      <c r="Q232" s="340"/>
      <c r="R232" s="349"/>
      <c r="S232" s="334"/>
      <c r="T232" s="334"/>
      <c r="U232" s="334"/>
      <c r="V232" s="334"/>
      <c r="W232" s="334"/>
      <c r="X232" s="334"/>
      <c r="Y232" s="334"/>
      <c r="Z232" s="334"/>
      <c r="AA232" s="334"/>
    </row>
    <row r="233" spans="1:27" ht="157.5" hidden="1">
      <c r="A233" s="334" t="s">
        <v>18</v>
      </c>
      <c r="B233" s="335" t="s">
        <v>274</v>
      </c>
      <c r="C233" s="334" t="s">
        <v>693</v>
      </c>
      <c r="D233" s="334" t="s">
        <v>694</v>
      </c>
      <c r="E233" s="334" t="s">
        <v>695</v>
      </c>
      <c r="F233" s="334" t="s">
        <v>2658</v>
      </c>
      <c r="G233" s="334" t="s">
        <v>62</v>
      </c>
      <c r="H233" s="334" t="s">
        <v>696</v>
      </c>
      <c r="I233" s="334" t="s">
        <v>697</v>
      </c>
      <c r="J233" s="334" t="s">
        <v>1191</v>
      </c>
      <c r="K233" s="334" t="s">
        <v>2838</v>
      </c>
      <c r="L233" s="344"/>
      <c r="M233" s="334"/>
      <c r="N233" s="334"/>
      <c r="O233" s="345"/>
      <c r="P233" s="400" t="s">
        <v>2839</v>
      </c>
      <c r="Q233" s="340"/>
      <c r="R233" s="349"/>
      <c r="S233" s="334"/>
      <c r="T233" s="334"/>
      <c r="U233" s="334"/>
      <c r="V233" s="334"/>
      <c r="W233" s="334"/>
      <c r="X233" s="334"/>
      <c r="Y233" s="334"/>
      <c r="Z233" s="334"/>
      <c r="AA233" s="334"/>
    </row>
    <row r="234" spans="1:27" ht="283.5" hidden="1">
      <c r="A234" s="334" t="s">
        <v>18</v>
      </c>
      <c r="B234" s="335" t="s">
        <v>274</v>
      </c>
      <c r="C234" s="334" t="s">
        <v>693</v>
      </c>
      <c r="D234" s="334" t="s">
        <v>698</v>
      </c>
      <c r="E234" s="334" t="s">
        <v>699</v>
      </c>
      <c r="F234" s="334" t="s">
        <v>2658</v>
      </c>
      <c r="G234" s="334" t="s">
        <v>62</v>
      </c>
      <c r="H234" s="334" t="s">
        <v>700</v>
      </c>
      <c r="I234" s="334" t="s">
        <v>701</v>
      </c>
      <c r="J234" s="334" t="s">
        <v>1191</v>
      </c>
      <c r="K234" s="334" t="s">
        <v>2840</v>
      </c>
      <c r="L234" s="344"/>
      <c r="M234" s="334"/>
      <c r="N234" s="334"/>
      <c r="O234" s="345"/>
      <c r="P234" s="334" t="s">
        <v>2841</v>
      </c>
      <c r="Q234" s="340"/>
      <c r="R234" s="349"/>
      <c r="S234" s="334"/>
      <c r="T234" s="334"/>
      <c r="U234" s="334"/>
      <c r="V234" s="334"/>
      <c r="W234" s="334"/>
      <c r="X234" s="334"/>
      <c r="Y234" s="334"/>
      <c r="Z234" s="334"/>
      <c r="AA234" s="334"/>
    </row>
    <row r="235" spans="1:27" ht="78.75" hidden="1">
      <c r="A235" s="334" t="s">
        <v>18</v>
      </c>
      <c r="B235" s="335" t="s">
        <v>274</v>
      </c>
      <c r="C235" s="334" t="s">
        <v>693</v>
      </c>
      <c r="D235" s="334" t="s">
        <v>702</v>
      </c>
      <c r="E235" s="334" t="s">
        <v>579</v>
      </c>
      <c r="F235" s="334" t="s">
        <v>2666</v>
      </c>
      <c r="G235" s="334" t="s">
        <v>62</v>
      </c>
      <c r="H235" s="334" t="s">
        <v>703</v>
      </c>
      <c r="I235" s="334" t="s">
        <v>701</v>
      </c>
      <c r="J235" s="334" t="s">
        <v>1191</v>
      </c>
      <c r="K235" s="334" t="s">
        <v>2842</v>
      </c>
      <c r="L235" s="344"/>
      <c r="M235" s="334"/>
      <c r="N235" s="334"/>
      <c r="O235" s="345"/>
      <c r="P235" s="334"/>
      <c r="Q235" s="340"/>
      <c r="R235" s="349"/>
      <c r="S235" s="334"/>
      <c r="T235" s="334"/>
      <c r="U235" s="334"/>
      <c r="V235" s="334"/>
      <c r="W235" s="334"/>
      <c r="X235" s="334"/>
      <c r="Y235" s="334"/>
      <c r="Z235" s="334"/>
      <c r="AA235" s="334"/>
    </row>
    <row r="236" spans="1:27" ht="47.25" hidden="1">
      <c r="A236" s="336" t="s">
        <v>18</v>
      </c>
      <c r="B236" s="390" t="s">
        <v>274</v>
      </c>
      <c r="C236" s="336" t="s">
        <v>704</v>
      </c>
      <c r="D236" s="336" t="s">
        <v>582</v>
      </c>
      <c r="E236" s="336" t="s">
        <v>582</v>
      </c>
      <c r="F236" s="336" t="s">
        <v>582</v>
      </c>
      <c r="G236" s="336" t="s">
        <v>582</v>
      </c>
      <c r="H236" s="336" t="s">
        <v>582</v>
      </c>
      <c r="I236" s="336" t="s">
        <v>582</v>
      </c>
      <c r="J236" s="336" t="s">
        <v>582</v>
      </c>
      <c r="K236" s="336" t="s">
        <v>582</v>
      </c>
      <c r="L236" s="336" t="s">
        <v>582</v>
      </c>
      <c r="M236" s="336" t="s">
        <v>582</v>
      </c>
      <c r="N236" s="336" t="s">
        <v>582</v>
      </c>
      <c r="O236" s="336" t="s">
        <v>582</v>
      </c>
      <c r="P236" s="336" t="s">
        <v>582</v>
      </c>
      <c r="R236" s="341" t="s">
        <v>582</v>
      </c>
      <c r="S236" s="336" t="s">
        <v>582</v>
      </c>
      <c r="T236" s="336" t="s">
        <v>582</v>
      </c>
      <c r="U236" s="336"/>
      <c r="V236" s="336" t="s">
        <v>582</v>
      </c>
      <c r="W236" s="336" t="s">
        <v>582</v>
      </c>
      <c r="X236" s="336" t="s">
        <v>582</v>
      </c>
      <c r="Y236" s="336" t="s">
        <v>582</v>
      </c>
      <c r="Z236" s="336" t="s">
        <v>582</v>
      </c>
      <c r="AA236" s="336" t="s">
        <v>582</v>
      </c>
    </row>
    <row r="237" spans="1:27" ht="94.5" hidden="1">
      <c r="A237" s="334" t="s">
        <v>18</v>
      </c>
      <c r="B237" s="335" t="s">
        <v>274</v>
      </c>
      <c r="C237" s="334" t="s">
        <v>705</v>
      </c>
      <c r="D237" s="334" t="s">
        <v>706</v>
      </c>
      <c r="E237" s="334" t="s">
        <v>707</v>
      </c>
      <c r="F237" s="334" t="s">
        <v>2666</v>
      </c>
      <c r="G237" s="334" t="s">
        <v>62</v>
      </c>
      <c r="H237" s="334" t="s">
        <v>708</v>
      </c>
      <c r="I237" s="343">
        <v>1</v>
      </c>
      <c r="J237" s="334" t="s">
        <v>8</v>
      </c>
      <c r="K237" s="334" t="s">
        <v>2843</v>
      </c>
      <c r="L237" s="344"/>
      <c r="M237" s="334"/>
      <c r="N237" s="334"/>
      <c r="O237" s="345"/>
      <c r="P237" s="334"/>
      <c r="Q237" s="340"/>
      <c r="R237" s="349"/>
      <c r="S237" s="334"/>
      <c r="T237" s="334"/>
      <c r="U237" s="334"/>
      <c r="V237" s="334"/>
      <c r="W237" s="334"/>
      <c r="X237" s="334"/>
      <c r="Y237" s="334"/>
      <c r="Z237" s="334"/>
      <c r="AA237" s="334"/>
    </row>
    <row r="238" spans="1:27" ht="126" hidden="1">
      <c r="A238" s="334" t="s">
        <v>18</v>
      </c>
      <c r="B238" s="335" t="s">
        <v>274</v>
      </c>
      <c r="C238" s="334" t="s">
        <v>705</v>
      </c>
      <c r="D238" s="334" t="s">
        <v>709</v>
      </c>
      <c r="E238" s="334" t="s">
        <v>710</v>
      </c>
      <c r="F238" s="334" t="s">
        <v>2676</v>
      </c>
      <c r="G238" s="334" t="s">
        <v>62</v>
      </c>
      <c r="H238" s="334" t="s">
        <v>711</v>
      </c>
      <c r="I238" s="343">
        <v>1</v>
      </c>
      <c r="J238" s="334" t="s">
        <v>8</v>
      </c>
      <c r="K238" s="334" t="s">
        <v>2819</v>
      </c>
      <c r="L238" s="344"/>
      <c r="M238" s="334"/>
      <c r="N238" s="334"/>
      <c r="O238" s="345"/>
      <c r="P238" s="334" t="s">
        <v>2844</v>
      </c>
      <c r="Q238" s="340"/>
      <c r="R238" s="349"/>
      <c r="S238" s="334"/>
      <c r="T238" s="334"/>
      <c r="U238" s="334"/>
      <c r="V238" s="334"/>
      <c r="W238" s="334"/>
      <c r="X238" s="334"/>
      <c r="Y238" s="334"/>
      <c r="Z238" s="334"/>
      <c r="AA238" s="334"/>
    </row>
    <row r="239" spans="1:27" ht="204.75" hidden="1">
      <c r="A239" s="334" t="s">
        <v>18</v>
      </c>
      <c r="B239" s="335" t="s">
        <v>274</v>
      </c>
      <c r="C239" s="334" t="s">
        <v>705</v>
      </c>
      <c r="D239" s="334" t="s">
        <v>712</v>
      </c>
      <c r="E239" s="334" t="s">
        <v>713</v>
      </c>
      <c r="F239" s="334" t="s">
        <v>2666</v>
      </c>
      <c r="G239" s="334" t="s">
        <v>62</v>
      </c>
      <c r="H239" s="334" t="s">
        <v>714</v>
      </c>
      <c r="I239" s="343">
        <v>1</v>
      </c>
      <c r="J239" s="334" t="s">
        <v>1090</v>
      </c>
      <c r="K239" s="334" t="s">
        <v>2845</v>
      </c>
      <c r="L239" s="344"/>
      <c r="M239" s="334"/>
      <c r="N239" s="334"/>
      <c r="O239" s="345"/>
      <c r="P239" s="334"/>
      <c r="Q239" s="340"/>
      <c r="R239" s="349"/>
      <c r="S239" s="334"/>
      <c r="T239" s="334"/>
      <c r="U239" s="334"/>
      <c r="V239" s="334"/>
      <c r="W239" s="334"/>
      <c r="X239" s="334"/>
      <c r="Y239" s="334"/>
      <c r="Z239" s="334"/>
      <c r="AA239" s="334"/>
    </row>
    <row r="240" spans="1:27" ht="63" hidden="1">
      <c r="A240" s="334" t="s">
        <v>18</v>
      </c>
      <c r="B240" s="335" t="s">
        <v>587</v>
      </c>
      <c r="C240" s="334" t="s">
        <v>715</v>
      </c>
      <c r="D240" s="334" t="s">
        <v>716</v>
      </c>
      <c r="E240" s="334" t="s">
        <v>717</v>
      </c>
      <c r="F240" s="334" t="s">
        <v>2676</v>
      </c>
      <c r="G240" s="334" t="s">
        <v>62</v>
      </c>
      <c r="H240" s="334" t="s">
        <v>591</v>
      </c>
      <c r="I240" s="343">
        <v>1</v>
      </c>
      <c r="J240" s="334" t="s">
        <v>8</v>
      </c>
      <c r="K240" s="334"/>
      <c r="L240" s="344"/>
      <c r="M240" s="334"/>
      <c r="N240" s="334"/>
      <c r="O240" s="345"/>
      <c r="P240" s="334" t="s">
        <v>2819</v>
      </c>
      <c r="Q240" s="340"/>
      <c r="R240" s="349"/>
      <c r="S240" s="334"/>
      <c r="T240" s="334"/>
      <c r="U240" s="334"/>
      <c r="V240" s="334"/>
      <c r="W240" s="334"/>
      <c r="X240" s="334"/>
      <c r="Y240" s="334"/>
      <c r="Z240" s="334"/>
      <c r="AA240" s="334"/>
    </row>
    <row r="241" spans="1:27" ht="56.25" hidden="1">
      <c r="A241" s="334" t="s">
        <v>18</v>
      </c>
      <c r="B241" s="335" t="s">
        <v>587</v>
      </c>
      <c r="C241" s="334" t="s">
        <v>715</v>
      </c>
      <c r="D241" s="334" t="s">
        <v>718</v>
      </c>
      <c r="E241" s="334" t="s">
        <v>719</v>
      </c>
      <c r="F241" s="336"/>
      <c r="G241" s="336" t="s">
        <v>62</v>
      </c>
      <c r="H241" s="336" t="s">
        <v>352</v>
      </c>
      <c r="I241" s="337">
        <v>1</v>
      </c>
      <c r="J241" s="336"/>
      <c r="K241" s="336"/>
      <c r="L241" s="338"/>
      <c r="M241" s="336"/>
      <c r="N241" s="336"/>
      <c r="O241" s="339"/>
      <c r="P241" s="336"/>
      <c r="Q241" s="340"/>
      <c r="R241" s="341"/>
      <c r="S241" s="336"/>
      <c r="T241" s="336"/>
      <c r="U241" s="336"/>
      <c r="V241" s="336"/>
      <c r="W241" s="336"/>
      <c r="X241" s="336"/>
      <c r="Y241" s="336"/>
      <c r="Z241" s="336"/>
      <c r="AA241" s="336"/>
    </row>
    <row r="242" spans="1:27" ht="56.25" hidden="1">
      <c r="A242" s="334" t="s">
        <v>18</v>
      </c>
      <c r="B242" s="335" t="s">
        <v>587</v>
      </c>
      <c r="C242" s="334" t="s">
        <v>715</v>
      </c>
      <c r="D242" s="334" t="s">
        <v>720</v>
      </c>
      <c r="E242" s="348" t="s">
        <v>594</v>
      </c>
      <c r="F242" s="334" t="s">
        <v>2676</v>
      </c>
      <c r="G242" s="334" t="s">
        <v>62</v>
      </c>
      <c r="H242" s="334" t="s">
        <v>352</v>
      </c>
      <c r="I242" s="343">
        <v>1</v>
      </c>
      <c r="J242" s="334" t="s">
        <v>8</v>
      </c>
      <c r="K242" s="334"/>
      <c r="L242" s="344"/>
      <c r="M242" s="334"/>
      <c r="N242" s="334"/>
      <c r="O242" s="345"/>
      <c r="P242" s="334" t="s">
        <v>2819</v>
      </c>
      <c r="Q242" s="340"/>
      <c r="R242" s="349"/>
      <c r="S242" s="334"/>
      <c r="T242" s="334"/>
      <c r="U242" s="334"/>
      <c r="V242" s="334"/>
      <c r="W242" s="334"/>
      <c r="X242" s="334"/>
      <c r="Y242" s="334"/>
      <c r="Z242" s="334"/>
      <c r="AA242" s="334"/>
    </row>
    <row r="243" spans="1:27" ht="157.5" hidden="1">
      <c r="A243" s="334" t="s">
        <v>18</v>
      </c>
      <c r="B243" s="335" t="s">
        <v>587</v>
      </c>
      <c r="C243" s="334" t="s">
        <v>715</v>
      </c>
      <c r="D243" s="334" t="s">
        <v>721</v>
      </c>
      <c r="E243" s="348" t="s">
        <v>722</v>
      </c>
      <c r="F243" s="334" t="s">
        <v>2658</v>
      </c>
      <c r="G243" s="334" t="s">
        <v>62</v>
      </c>
      <c r="H243" s="334" t="s">
        <v>352</v>
      </c>
      <c r="I243" s="343">
        <v>1</v>
      </c>
      <c r="J243" s="334" t="s">
        <v>1191</v>
      </c>
      <c r="K243" s="334" t="s">
        <v>2846</v>
      </c>
      <c r="L243" s="344" t="s">
        <v>2387</v>
      </c>
      <c r="M243" s="334"/>
      <c r="N243" s="334"/>
      <c r="O243" s="345"/>
      <c r="P243" s="334" t="s">
        <v>2847</v>
      </c>
      <c r="Q243" s="340"/>
      <c r="R243" s="349"/>
      <c r="S243" s="334"/>
      <c r="T243" s="334"/>
      <c r="U243" s="334"/>
      <c r="V243" s="334"/>
      <c r="W243" s="334"/>
      <c r="X243" s="334"/>
      <c r="Y243" s="334"/>
      <c r="Z243" s="334"/>
      <c r="AA243" s="334"/>
    </row>
    <row r="244" spans="1:27" ht="56.25" hidden="1">
      <c r="A244" s="334" t="s">
        <v>18</v>
      </c>
      <c r="B244" s="335" t="s">
        <v>587</v>
      </c>
      <c r="C244" s="334" t="s">
        <v>715</v>
      </c>
      <c r="D244" s="334" t="s">
        <v>723</v>
      </c>
      <c r="E244" s="348" t="s">
        <v>596</v>
      </c>
      <c r="F244" s="334" t="s">
        <v>2676</v>
      </c>
      <c r="G244" s="334" t="s">
        <v>62</v>
      </c>
      <c r="H244" s="334" t="s">
        <v>352</v>
      </c>
      <c r="I244" s="343">
        <v>1</v>
      </c>
      <c r="J244" s="334" t="s">
        <v>8</v>
      </c>
      <c r="K244" s="334"/>
      <c r="L244" s="344"/>
      <c r="M244" s="334"/>
      <c r="N244" s="334"/>
      <c r="O244" s="345"/>
      <c r="P244" s="334" t="s">
        <v>2819</v>
      </c>
      <c r="Q244" s="340"/>
      <c r="R244" s="349"/>
      <c r="S244" s="334"/>
      <c r="T244" s="334"/>
      <c r="U244" s="334"/>
      <c r="V244" s="334"/>
      <c r="W244" s="334"/>
      <c r="X244" s="334"/>
      <c r="Y244" s="334"/>
      <c r="Z244" s="334"/>
      <c r="AA244" s="334"/>
    </row>
    <row r="245" spans="1:27" ht="204.75" hidden="1">
      <c r="A245" s="334" t="s">
        <v>18</v>
      </c>
      <c r="B245" s="335" t="s">
        <v>587</v>
      </c>
      <c r="C245" s="334" t="s">
        <v>715</v>
      </c>
      <c r="D245" s="334" t="s">
        <v>724</v>
      </c>
      <c r="E245" s="348" t="s">
        <v>597</v>
      </c>
      <c r="F245" s="334" t="s">
        <v>2757</v>
      </c>
      <c r="G245" s="334" t="s">
        <v>62</v>
      </c>
      <c r="H245" s="334" t="s">
        <v>352</v>
      </c>
      <c r="I245" s="343">
        <v>1</v>
      </c>
      <c r="J245" s="334" t="s">
        <v>8</v>
      </c>
      <c r="K245" s="334"/>
      <c r="L245" s="344"/>
      <c r="M245" s="334"/>
      <c r="N245" s="334"/>
      <c r="O245" s="345"/>
      <c r="P245" s="334" t="s">
        <v>2848</v>
      </c>
      <c r="Q245" s="340"/>
      <c r="R245" s="349"/>
      <c r="S245" s="334"/>
      <c r="T245" s="334"/>
      <c r="U245" s="334"/>
      <c r="V245" s="334"/>
      <c r="W245" s="334"/>
      <c r="X245" s="334"/>
      <c r="Y245" s="334"/>
      <c r="Z245" s="334"/>
      <c r="AA245" s="334"/>
    </row>
    <row r="246" spans="1:27" ht="78.75" hidden="1">
      <c r="A246" s="334" t="s">
        <v>18</v>
      </c>
      <c r="B246" s="335" t="s">
        <v>587</v>
      </c>
      <c r="C246" s="334" t="s">
        <v>715</v>
      </c>
      <c r="D246" s="334" t="s">
        <v>725</v>
      </c>
      <c r="E246" s="348" t="s">
        <v>599</v>
      </c>
      <c r="F246" s="334" t="s">
        <v>2676</v>
      </c>
      <c r="G246" s="334" t="s">
        <v>62</v>
      </c>
      <c r="H246" s="334" t="s">
        <v>352</v>
      </c>
      <c r="I246" s="343">
        <v>1</v>
      </c>
      <c r="J246" s="334" t="s">
        <v>1191</v>
      </c>
      <c r="K246" s="334" t="s">
        <v>2849</v>
      </c>
      <c r="L246" s="344"/>
      <c r="M246" s="334"/>
      <c r="N246" s="334"/>
      <c r="O246" s="345"/>
      <c r="P246" s="334"/>
      <c r="Q246" s="340"/>
      <c r="R246" s="349"/>
      <c r="S246" s="334"/>
      <c r="T246" s="334"/>
      <c r="U246" s="334"/>
      <c r="V246" s="334"/>
      <c r="W246" s="334"/>
      <c r="X246" s="334"/>
      <c r="Y246" s="334"/>
      <c r="Z246" s="334"/>
      <c r="AA246" s="334"/>
    </row>
    <row r="247" spans="1:27" ht="56.25" hidden="1">
      <c r="A247" s="334" t="s">
        <v>18</v>
      </c>
      <c r="B247" s="335" t="s">
        <v>587</v>
      </c>
      <c r="C247" s="334" t="s">
        <v>715</v>
      </c>
      <c r="D247" s="334" t="s">
        <v>726</v>
      </c>
      <c r="E247" s="348" t="s">
        <v>727</v>
      </c>
      <c r="F247" s="334" t="s">
        <v>2658</v>
      </c>
      <c r="G247" s="334" t="s">
        <v>62</v>
      </c>
      <c r="H247" s="334" t="s">
        <v>352</v>
      </c>
      <c r="I247" s="343">
        <v>1</v>
      </c>
      <c r="J247" s="334" t="s">
        <v>8</v>
      </c>
      <c r="K247" s="334"/>
      <c r="L247" s="344"/>
      <c r="M247" s="334"/>
      <c r="N247" s="334"/>
      <c r="O247" s="345"/>
      <c r="P247" s="334" t="s">
        <v>2819</v>
      </c>
      <c r="Q247" s="340"/>
      <c r="R247" s="349"/>
      <c r="S247" s="334"/>
      <c r="T247" s="334"/>
      <c r="U247" s="334"/>
      <c r="V247" s="334"/>
      <c r="W247" s="334"/>
      <c r="X247" s="334"/>
      <c r="Y247" s="334"/>
      <c r="Z247" s="334"/>
      <c r="AA247" s="334"/>
    </row>
    <row r="248" spans="1:27" ht="56.25" hidden="1">
      <c r="A248" s="334" t="s">
        <v>18</v>
      </c>
      <c r="B248" s="335" t="s">
        <v>587</v>
      </c>
      <c r="C248" s="334" t="s">
        <v>715</v>
      </c>
      <c r="D248" s="334" t="s">
        <v>728</v>
      </c>
      <c r="E248" s="348" t="s">
        <v>729</v>
      </c>
      <c r="F248" s="334" t="s">
        <v>2658</v>
      </c>
      <c r="G248" s="334" t="s">
        <v>62</v>
      </c>
      <c r="H248" s="334" t="s">
        <v>352</v>
      </c>
      <c r="I248" s="343">
        <v>1</v>
      </c>
      <c r="J248" s="334" t="s">
        <v>1191</v>
      </c>
      <c r="K248" s="334" t="s">
        <v>2850</v>
      </c>
      <c r="L248" s="344"/>
      <c r="M248" s="334"/>
      <c r="N248" s="334"/>
      <c r="O248" s="345"/>
      <c r="P248" s="334"/>
      <c r="Q248" s="340"/>
      <c r="R248" s="349"/>
      <c r="S248" s="334"/>
      <c r="T248" s="334"/>
      <c r="U248" s="334"/>
      <c r="V248" s="334"/>
      <c r="W248" s="334"/>
      <c r="X248" s="334"/>
      <c r="Y248" s="334"/>
      <c r="Z248" s="334"/>
      <c r="AA248" s="334"/>
    </row>
    <row r="249" spans="1:27" ht="94.5" hidden="1">
      <c r="A249" s="334" t="s">
        <v>18</v>
      </c>
      <c r="B249" s="335" t="s">
        <v>587</v>
      </c>
      <c r="C249" s="334" t="s">
        <v>715</v>
      </c>
      <c r="D249" s="334" t="s">
        <v>730</v>
      </c>
      <c r="E249" s="348" t="s">
        <v>731</v>
      </c>
      <c r="F249" s="334" t="s">
        <v>2676</v>
      </c>
      <c r="G249" s="334" t="s">
        <v>62</v>
      </c>
      <c r="H249" s="334" t="s">
        <v>352</v>
      </c>
      <c r="I249" s="343">
        <v>1</v>
      </c>
      <c r="J249" s="334" t="s">
        <v>1090</v>
      </c>
      <c r="K249" s="334" t="s">
        <v>2851</v>
      </c>
      <c r="L249" s="344"/>
      <c r="M249" s="334"/>
      <c r="N249" s="334"/>
      <c r="O249" s="345"/>
      <c r="P249" s="334"/>
      <c r="Q249" s="340"/>
      <c r="R249" s="349"/>
      <c r="S249" s="334"/>
      <c r="T249" s="334"/>
      <c r="U249" s="334"/>
      <c r="V249" s="334"/>
      <c r="W249" s="334"/>
      <c r="X249" s="334"/>
      <c r="Y249" s="334"/>
      <c r="Z249" s="334"/>
      <c r="AA249" s="334"/>
    </row>
    <row r="250" spans="1:27" ht="63" hidden="1">
      <c r="A250" s="334" t="s">
        <v>18</v>
      </c>
      <c r="B250" s="335" t="s">
        <v>587</v>
      </c>
      <c r="C250" s="334" t="s">
        <v>732</v>
      </c>
      <c r="D250" s="334" t="s">
        <v>733</v>
      </c>
      <c r="E250" s="334" t="s">
        <v>734</v>
      </c>
      <c r="F250" s="334"/>
      <c r="G250" s="334" t="s">
        <v>71</v>
      </c>
      <c r="H250" s="334" t="s">
        <v>735</v>
      </c>
      <c r="I250" s="343">
        <v>1</v>
      </c>
      <c r="J250" s="334"/>
      <c r="K250" s="334"/>
      <c r="L250" s="344"/>
      <c r="M250" s="334"/>
      <c r="N250" s="334"/>
      <c r="O250" s="345"/>
      <c r="P250" s="334"/>
      <c r="Q250" s="340"/>
      <c r="R250" s="349"/>
      <c r="S250" s="334"/>
      <c r="T250" s="334"/>
      <c r="U250" s="334"/>
      <c r="V250" s="334"/>
      <c r="W250" s="334"/>
      <c r="X250" s="334"/>
      <c r="Y250" s="334"/>
      <c r="Z250" s="334"/>
      <c r="AA250" s="334"/>
    </row>
    <row r="251" spans="1:27" ht="63" hidden="1">
      <c r="A251" s="334" t="s">
        <v>18</v>
      </c>
      <c r="B251" s="335" t="s">
        <v>587</v>
      </c>
      <c r="C251" s="334" t="s">
        <v>732</v>
      </c>
      <c r="D251" s="334" t="s">
        <v>736</v>
      </c>
      <c r="E251" s="334" t="s">
        <v>734</v>
      </c>
      <c r="F251" s="334" t="s">
        <v>2658</v>
      </c>
      <c r="G251" s="334" t="s">
        <v>58</v>
      </c>
      <c r="H251" s="334" t="s">
        <v>428</v>
      </c>
      <c r="I251" s="343">
        <v>1</v>
      </c>
      <c r="J251" s="334" t="s">
        <v>8</v>
      </c>
      <c r="K251" s="334"/>
      <c r="L251" s="344"/>
      <c r="M251" s="334"/>
      <c r="N251" s="334"/>
      <c r="O251" s="345"/>
      <c r="P251" s="334" t="s">
        <v>2819</v>
      </c>
      <c r="Q251" s="340"/>
      <c r="R251" s="349"/>
      <c r="S251" s="334"/>
      <c r="T251" s="334"/>
      <c r="U251" s="334"/>
      <c r="V251" s="334"/>
      <c r="W251" s="334"/>
      <c r="X251" s="334"/>
      <c r="Y251" s="334"/>
      <c r="Z251" s="334"/>
      <c r="AA251" s="334"/>
    </row>
    <row r="252" spans="1:27" ht="78.75" hidden="1">
      <c r="A252" s="334" t="s">
        <v>18</v>
      </c>
      <c r="B252" s="335" t="s">
        <v>587</v>
      </c>
      <c r="C252" s="334" t="s">
        <v>737</v>
      </c>
      <c r="D252" s="334" t="s">
        <v>738</v>
      </c>
      <c r="E252" s="334" t="s">
        <v>739</v>
      </c>
      <c r="F252" s="334" t="s">
        <v>2676</v>
      </c>
      <c r="G252" s="334" t="s">
        <v>62</v>
      </c>
      <c r="H252" s="334" t="s">
        <v>623</v>
      </c>
      <c r="I252" s="343">
        <v>1</v>
      </c>
      <c r="J252" s="334" t="s">
        <v>1191</v>
      </c>
      <c r="K252" s="334" t="s">
        <v>2852</v>
      </c>
      <c r="L252" s="344"/>
      <c r="M252" s="334"/>
      <c r="N252" s="334"/>
      <c r="O252" s="345"/>
      <c r="P252" s="334"/>
      <c r="Q252" s="340"/>
      <c r="R252" s="349"/>
      <c r="S252" s="334"/>
      <c r="T252" s="334"/>
      <c r="U252" s="334"/>
      <c r="V252" s="334"/>
      <c r="W252" s="334"/>
      <c r="X252" s="334"/>
      <c r="Y252" s="334"/>
      <c r="Z252" s="334"/>
      <c r="AA252" s="334"/>
    </row>
    <row r="253" spans="1:27" ht="267.75" hidden="1">
      <c r="A253" s="334" t="s">
        <v>18</v>
      </c>
      <c r="B253" s="335" t="s">
        <v>587</v>
      </c>
      <c r="C253" s="334" t="s">
        <v>737</v>
      </c>
      <c r="D253" s="334" t="s">
        <v>740</v>
      </c>
      <c r="E253" s="334" t="s">
        <v>741</v>
      </c>
      <c r="F253" s="334" t="s">
        <v>2757</v>
      </c>
      <c r="G253" s="334" t="s">
        <v>62</v>
      </c>
      <c r="H253" s="334" t="s">
        <v>742</v>
      </c>
      <c r="I253" s="343">
        <v>1</v>
      </c>
      <c r="J253" s="334" t="s">
        <v>1090</v>
      </c>
      <c r="K253" s="334" t="s">
        <v>2853</v>
      </c>
      <c r="L253" s="344"/>
      <c r="M253" s="334"/>
      <c r="N253" s="334"/>
      <c r="O253" s="345"/>
      <c r="P253" s="334"/>
      <c r="Q253" s="340"/>
      <c r="R253" s="349"/>
      <c r="S253" s="334"/>
      <c r="T253" s="334"/>
      <c r="U253" s="334"/>
      <c r="V253" s="334"/>
      <c r="W253" s="334"/>
      <c r="X253" s="334"/>
      <c r="Y253" s="334"/>
      <c r="Z253" s="334"/>
      <c r="AA253" s="334"/>
    </row>
    <row r="254" spans="1:27" ht="362.25" hidden="1">
      <c r="A254" s="334" t="s">
        <v>18</v>
      </c>
      <c r="B254" s="335" t="s">
        <v>587</v>
      </c>
      <c r="C254" s="334" t="s">
        <v>737</v>
      </c>
      <c r="D254" s="334" t="s">
        <v>743</v>
      </c>
      <c r="E254" s="334" t="s">
        <v>744</v>
      </c>
      <c r="F254" s="334" t="s">
        <v>2757</v>
      </c>
      <c r="G254" s="334" t="s">
        <v>62</v>
      </c>
      <c r="H254" s="334" t="s">
        <v>745</v>
      </c>
      <c r="I254" s="343">
        <v>0.5</v>
      </c>
      <c r="J254" s="334" t="s">
        <v>1191</v>
      </c>
      <c r="K254" s="334" t="s">
        <v>2854</v>
      </c>
      <c r="L254" s="344"/>
      <c r="M254" s="334"/>
      <c r="N254" s="334"/>
      <c r="O254" s="345"/>
      <c r="P254" s="334" t="s">
        <v>2855</v>
      </c>
      <c r="Q254" s="340"/>
      <c r="R254" s="349"/>
      <c r="S254" s="334"/>
      <c r="T254" s="334"/>
      <c r="U254" s="334"/>
      <c r="V254" s="334"/>
      <c r="W254" s="334"/>
      <c r="X254" s="334"/>
      <c r="Y254" s="334"/>
      <c r="Z254" s="334"/>
      <c r="AA254" s="334"/>
    </row>
    <row r="255" spans="1:27" ht="78.75" hidden="1">
      <c r="A255" s="334" t="s">
        <v>18</v>
      </c>
      <c r="B255" s="335" t="s">
        <v>587</v>
      </c>
      <c r="C255" s="334" t="s">
        <v>746</v>
      </c>
      <c r="D255" s="334" t="s">
        <v>747</v>
      </c>
      <c r="E255" s="334" t="s">
        <v>748</v>
      </c>
      <c r="F255" s="334" t="s">
        <v>2666</v>
      </c>
      <c r="G255" s="334" t="s">
        <v>62</v>
      </c>
      <c r="H255" s="334" t="s">
        <v>749</v>
      </c>
      <c r="I255" s="343">
        <v>0.5</v>
      </c>
      <c r="J255" s="334" t="s">
        <v>8</v>
      </c>
      <c r="K255" s="334"/>
      <c r="L255" s="344"/>
      <c r="M255" s="334"/>
      <c r="N255" s="334"/>
      <c r="O255" s="345"/>
      <c r="P255" s="334" t="s">
        <v>2819</v>
      </c>
      <c r="Q255" s="340"/>
      <c r="R255" s="349"/>
      <c r="S255" s="334"/>
      <c r="T255" s="334"/>
      <c r="U255" s="334"/>
      <c r="V255" s="334"/>
      <c r="W255" s="334"/>
      <c r="X255" s="334"/>
      <c r="Y255" s="334"/>
      <c r="Z255" s="334"/>
      <c r="AA255" s="334"/>
    </row>
    <row r="256" spans="1:27" hidden="1">
      <c r="A256" s="401" t="s">
        <v>750</v>
      </c>
      <c r="B256" s="402"/>
      <c r="C256" s="403"/>
      <c r="D256" s="403"/>
      <c r="E256" s="403"/>
      <c r="F256" s="403"/>
      <c r="G256" s="403"/>
      <c r="H256" s="403"/>
      <c r="I256" s="404"/>
      <c r="J256" s="403"/>
      <c r="K256" s="403"/>
      <c r="L256" s="403"/>
      <c r="M256" s="403"/>
      <c r="N256" s="403"/>
      <c r="O256" s="403"/>
      <c r="P256" s="405"/>
      <c r="Q256" s="406"/>
      <c r="R256" s="407"/>
      <c r="S256" s="403"/>
      <c r="T256" s="403"/>
      <c r="U256" s="403"/>
      <c r="V256" s="403"/>
      <c r="W256" s="403"/>
      <c r="X256" s="403"/>
      <c r="Y256" s="403"/>
      <c r="Z256" s="403"/>
      <c r="AA256" s="403"/>
    </row>
    <row r="257" spans="1:27" ht="63" hidden="1">
      <c r="A257" s="334" t="s">
        <v>20</v>
      </c>
      <c r="B257" s="408" t="s">
        <v>54</v>
      </c>
      <c r="C257" s="409" t="s">
        <v>751</v>
      </c>
      <c r="D257" s="409" t="s">
        <v>752</v>
      </c>
      <c r="E257" s="409" t="s">
        <v>753</v>
      </c>
      <c r="F257" s="336"/>
      <c r="G257" s="336" t="s">
        <v>62</v>
      </c>
      <c r="H257" s="336" t="s">
        <v>754</v>
      </c>
      <c r="I257" s="337" t="s">
        <v>485</v>
      </c>
      <c r="J257" s="336"/>
      <c r="K257" s="336"/>
      <c r="L257" s="338"/>
      <c r="M257" s="336"/>
      <c r="N257" s="336"/>
      <c r="O257" s="339"/>
      <c r="P257" s="336"/>
      <c r="Q257" s="340"/>
      <c r="R257" s="341"/>
      <c r="S257" s="336"/>
      <c r="T257" s="336"/>
      <c r="U257" s="336"/>
      <c r="V257" s="336"/>
      <c r="W257" s="336"/>
      <c r="X257" s="336"/>
      <c r="Y257" s="336"/>
      <c r="Z257" s="336"/>
      <c r="AA257" s="336"/>
    </row>
    <row r="258" spans="1:27" ht="63" hidden="1">
      <c r="A258" s="334" t="s">
        <v>20</v>
      </c>
      <c r="B258" s="408" t="s">
        <v>54</v>
      </c>
      <c r="C258" s="409" t="s">
        <v>751</v>
      </c>
      <c r="D258" s="409" t="s">
        <v>755</v>
      </c>
      <c r="E258" s="348" t="s">
        <v>756</v>
      </c>
      <c r="F258" s="334" t="s">
        <v>2676</v>
      </c>
      <c r="G258" s="409" t="s">
        <v>62</v>
      </c>
      <c r="H258" s="409" t="s">
        <v>754</v>
      </c>
      <c r="I258" s="409" t="s">
        <v>485</v>
      </c>
      <c r="J258" s="334" t="s">
        <v>8</v>
      </c>
      <c r="K258" s="334"/>
      <c r="L258" s="344"/>
      <c r="M258" s="334"/>
      <c r="N258" s="334"/>
      <c r="O258" s="345"/>
      <c r="P258" s="334" t="s">
        <v>2819</v>
      </c>
      <c r="Q258" s="340"/>
      <c r="R258" s="349"/>
      <c r="S258" s="334"/>
      <c r="T258" s="334"/>
      <c r="U258" s="334"/>
      <c r="V258" s="334"/>
      <c r="W258" s="334"/>
      <c r="X258" s="334"/>
      <c r="Y258" s="334"/>
      <c r="Z258" s="334"/>
      <c r="AA258" s="334"/>
    </row>
    <row r="259" spans="1:27" ht="78.75" hidden="1">
      <c r="A259" s="334" t="s">
        <v>20</v>
      </c>
      <c r="B259" s="408" t="s">
        <v>54</v>
      </c>
      <c r="C259" s="409" t="s">
        <v>751</v>
      </c>
      <c r="D259" s="409" t="s">
        <v>757</v>
      </c>
      <c r="E259" s="348" t="s">
        <v>758</v>
      </c>
      <c r="F259" s="334" t="s">
        <v>2856</v>
      </c>
      <c r="G259" s="409" t="s">
        <v>62</v>
      </c>
      <c r="H259" s="409" t="s">
        <v>754</v>
      </c>
      <c r="I259" s="409" t="s">
        <v>485</v>
      </c>
      <c r="J259" s="334" t="s">
        <v>8</v>
      </c>
      <c r="K259" s="334"/>
      <c r="L259" s="344"/>
      <c r="M259" s="334"/>
      <c r="N259" s="334"/>
      <c r="O259" s="345"/>
      <c r="P259" s="334" t="s">
        <v>2819</v>
      </c>
      <c r="Q259" s="340"/>
      <c r="R259" s="349"/>
      <c r="S259" s="334"/>
      <c r="T259" s="334"/>
      <c r="U259" s="334"/>
      <c r="V259" s="334"/>
      <c r="W259" s="334"/>
      <c r="X259" s="334"/>
      <c r="Y259" s="334"/>
      <c r="Z259" s="334"/>
      <c r="AA259" s="334"/>
    </row>
    <row r="260" spans="1:27" ht="94.5" hidden="1">
      <c r="A260" s="334" t="s">
        <v>20</v>
      </c>
      <c r="B260" s="408" t="s">
        <v>54</v>
      </c>
      <c r="C260" s="409" t="s">
        <v>751</v>
      </c>
      <c r="D260" s="409" t="s">
        <v>759</v>
      </c>
      <c r="E260" s="348" t="s">
        <v>760</v>
      </c>
      <c r="F260" s="334" t="s">
        <v>2825</v>
      </c>
      <c r="G260" s="409" t="s">
        <v>62</v>
      </c>
      <c r="H260" s="409" t="s">
        <v>754</v>
      </c>
      <c r="I260" s="409" t="s">
        <v>485</v>
      </c>
      <c r="J260" s="334" t="s">
        <v>8</v>
      </c>
      <c r="K260" s="334"/>
      <c r="L260" s="344"/>
      <c r="M260" s="334"/>
      <c r="N260" s="334"/>
      <c r="O260" s="345"/>
      <c r="P260" s="334" t="s">
        <v>2857</v>
      </c>
      <c r="Q260" s="340"/>
      <c r="R260" s="349"/>
      <c r="S260" s="334"/>
      <c r="T260" s="334"/>
      <c r="U260" s="334"/>
      <c r="V260" s="334"/>
      <c r="W260" s="334"/>
      <c r="X260" s="334"/>
      <c r="Y260" s="334"/>
      <c r="Z260" s="334"/>
      <c r="AA260" s="334"/>
    </row>
    <row r="261" spans="1:27" ht="126" hidden="1">
      <c r="A261" s="334" t="s">
        <v>20</v>
      </c>
      <c r="B261" s="408" t="s">
        <v>54</v>
      </c>
      <c r="C261" s="409" t="s">
        <v>751</v>
      </c>
      <c r="D261" s="409" t="s">
        <v>761</v>
      </c>
      <c r="E261" s="348" t="s">
        <v>762</v>
      </c>
      <c r="F261" s="334" t="s">
        <v>2676</v>
      </c>
      <c r="G261" s="409" t="s">
        <v>62</v>
      </c>
      <c r="H261" s="409" t="s">
        <v>754</v>
      </c>
      <c r="I261" s="409" t="s">
        <v>485</v>
      </c>
      <c r="J261" s="334" t="s">
        <v>1191</v>
      </c>
      <c r="K261" s="334" t="s">
        <v>2858</v>
      </c>
      <c r="L261" s="344"/>
      <c r="M261" s="334"/>
      <c r="N261" s="334"/>
      <c r="O261" s="345"/>
      <c r="P261" s="334"/>
      <c r="Q261" s="340"/>
      <c r="R261" s="349"/>
      <c r="S261" s="334"/>
      <c r="T261" s="334"/>
      <c r="U261" s="334"/>
      <c r="V261" s="334"/>
      <c r="W261" s="334"/>
      <c r="X261" s="334"/>
      <c r="Y261" s="334"/>
      <c r="Z261" s="334"/>
      <c r="AA261" s="334"/>
    </row>
    <row r="262" spans="1:27" ht="63" hidden="1">
      <c r="A262" s="334" t="s">
        <v>20</v>
      </c>
      <c r="B262" s="408" t="s">
        <v>54</v>
      </c>
      <c r="C262" s="409" t="s">
        <v>751</v>
      </c>
      <c r="D262" s="409" t="s">
        <v>763</v>
      </c>
      <c r="E262" s="348" t="s">
        <v>764</v>
      </c>
      <c r="F262" s="334" t="s">
        <v>2658</v>
      </c>
      <c r="G262" s="409" t="s">
        <v>62</v>
      </c>
      <c r="H262" s="409" t="s">
        <v>754</v>
      </c>
      <c r="I262" s="409" t="s">
        <v>485</v>
      </c>
      <c r="J262" s="334" t="s">
        <v>8</v>
      </c>
      <c r="K262" s="334" t="s">
        <v>2859</v>
      </c>
      <c r="L262" s="344"/>
      <c r="M262" s="334"/>
      <c r="N262" s="334"/>
      <c r="O262" s="345"/>
      <c r="P262" s="334"/>
      <c r="Q262" s="340"/>
      <c r="R262" s="349"/>
      <c r="S262" s="334"/>
      <c r="T262" s="334"/>
      <c r="U262" s="334"/>
      <c r="V262" s="334"/>
      <c r="W262" s="334"/>
      <c r="X262" s="334"/>
      <c r="Y262" s="334"/>
      <c r="Z262" s="334"/>
      <c r="AA262" s="334"/>
    </row>
    <row r="263" spans="1:27" ht="78.75" hidden="1">
      <c r="A263" s="334" t="s">
        <v>20</v>
      </c>
      <c r="B263" s="408" t="s">
        <v>54</v>
      </c>
      <c r="C263" s="409" t="s">
        <v>751</v>
      </c>
      <c r="D263" s="409" t="s">
        <v>765</v>
      </c>
      <c r="E263" s="348" t="s">
        <v>766</v>
      </c>
      <c r="F263" s="334" t="s">
        <v>2676</v>
      </c>
      <c r="G263" s="409" t="s">
        <v>62</v>
      </c>
      <c r="H263" s="409" t="s">
        <v>754</v>
      </c>
      <c r="I263" s="409" t="s">
        <v>485</v>
      </c>
      <c r="J263" s="334" t="s">
        <v>1191</v>
      </c>
      <c r="K263" s="334" t="s">
        <v>2860</v>
      </c>
      <c r="L263" s="344"/>
      <c r="M263" s="334"/>
      <c r="N263" s="334"/>
      <c r="O263" s="345"/>
      <c r="P263" s="334" t="s">
        <v>2819</v>
      </c>
      <c r="Q263" s="340"/>
      <c r="R263" s="349"/>
      <c r="S263" s="334"/>
      <c r="T263" s="334"/>
      <c r="U263" s="334"/>
      <c r="V263" s="334"/>
      <c r="W263" s="334"/>
      <c r="X263" s="334"/>
      <c r="Y263" s="334"/>
      <c r="Z263" s="334"/>
      <c r="AA263" s="334"/>
    </row>
    <row r="264" spans="1:27" ht="409.5" hidden="1">
      <c r="A264" s="334" t="s">
        <v>20</v>
      </c>
      <c r="B264" s="408" t="s">
        <v>54</v>
      </c>
      <c r="C264" s="409" t="s">
        <v>751</v>
      </c>
      <c r="D264" s="409" t="s">
        <v>767</v>
      </c>
      <c r="E264" s="348" t="s">
        <v>768</v>
      </c>
      <c r="F264" s="334" t="s">
        <v>2676</v>
      </c>
      <c r="G264" s="409" t="s">
        <v>62</v>
      </c>
      <c r="H264" s="409" t="s">
        <v>754</v>
      </c>
      <c r="I264" s="409" t="s">
        <v>485</v>
      </c>
      <c r="J264" s="334" t="s">
        <v>1090</v>
      </c>
      <c r="K264" s="334" t="s">
        <v>2861</v>
      </c>
      <c r="L264" s="344"/>
      <c r="M264" s="334"/>
      <c r="N264" s="334"/>
      <c r="O264" s="345"/>
      <c r="P264" s="334" t="s">
        <v>2862</v>
      </c>
      <c r="Q264" s="340"/>
      <c r="R264" s="349"/>
      <c r="S264" s="334"/>
      <c r="T264" s="334"/>
      <c r="U264" s="334"/>
      <c r="V264" s="334"/>
      <c r="W264" s="334"/>
      <c r="X264" s="334"/>
      <c r="Y264" s="334"/>
      <c r="Z264" s="334"/>
      <c r="AA264" s="334"/>
    </row>
    <row r="265" spans="1:27" ht="189" hidden="1">
      <c r="A265" s="334" t="s">
        <v>20</v>
      </c>
      <c r="B265" s="408" t="s">
        <v>54</v>
      </c>
      <c r="C265" s="409" t="s">
        <v>751</v>
      </c>
      <c r="D265" s="409" t="s">
        <v>769</v>
      </c>
      <c r="E265" s="348" t="s">
        <v>770</v>
      </c>
      <c r="F265" s="334" t="s">
        <v>2676</v>
      </c>
      <c r="G265" s="409" t="s">
        <v>62</v>
      </c>
      <c r="H265" s="409" t="s">
        <v>754</v>
      </c>
      <c r="I265" s="409" t="s">
        <v>485</v>
      </c>
      <c r="J265" s="334" t="s">
        <v>1191</v>
      </c>
      <c r="K265" s="334" t="s">
        <v>2863</v>
      </c>
      <c r="L265" s="344"/>
      <c r="M265" s="334"/>
      <c r="N265" s="334"/>
      <c r="O265" s="345"/>
      <c r="P265" s="334"/>
      <c r="Q265" s="340"/>
      <c r="R265" s="349"/>
      <c r="S265" s="334"/>
      <c r="T265" s="334"/>
      <c r="U265" s="334"/>
      <c r="V265" s="334"/>
      <c r="W265" s="334"/>
      <c r="X265" s="334"/>
      <c r="Y265" s="334"/>
      <c r="Z265" s="334"/>
      <c r="AA265" s="334"/>
    </row>
    <row r="266" spans="1:27" ht="47.25" hidden="1">
      <c r="A266" s="334" t="s">
        <v>20</v>
      </c>
      <c r="B266" s="408" t="s">
        <v>54</v>
      </c>
      <c r="C266" s="409" t="s">
        <v>751</v>
      </c>
      <c r="D266" s="409" t="s">
        <v>771</v>
      </c>
      <c r="E266" s="409" t="s">
        <v>772</v>
      </c>
      <c r="F266" s="334" t="s">
        <v>2676</v>
      </c>
      <c r="G266" s="409" t="s">
        <v>62</v>
      </c>
      <c r="H266" s="409" t="s">
        <v>773</v>
      </c>
      <c r="I266" s="409" t="s">
        <v>139</v>
      </c>
      <c r="J266" s="334" t="s">
        <v>8</v>
      </c>
      <c r="K266" s="334"/>
      <c r="L266" s="344"/>
      <c r="M266" s="334"/>
      <c r="N266" s="334"/>
      <c r="O266" s="345"/>
      <c r="P266" s="334" t="s">
        <v>2819</v>
      </c>
      <c r="Q266" s="340"/>
      <c r="R266" s="349"/>
      <c r="S266" s="334"/>
      <c r="T266" s="334"/>
      <c r="U266" s="334"/>
      <c r="V266" s="334"/>
      <c r="W266" s="334"/>
      <c r="X266" s="334"/>
      <c r="Y266" s="334"/>
      <c r="Z266" s="334"/>
      <c r="AA266" s="334"/>
    </row>
    <row r="267" spans="1:27" ht="173.25" hidden="1">
      <c r="A267" s="334" t="s">
        <v>20</v>
      </c>
      <c r="B267" s="408" t="s">
        <v>54</v>
      </c>
      <c r="C267" s="334" t="s">
        <v>774</v>
      </c>
      <c r="D267" s="334" t="s">
        <v>775</v>
      </c>
      <c r="E267" s="334" t="s">
        <v>776</v>
      </c>
      <c r="F267" s="334" t="s">
        <v>2676</v>
      </c>
      <c r="G267" s="334" t="s">
        <v>62</v>
      </c>
      <c r="H267" s="334" t="s">
        <v>777</v>
      </c>
      <c r="I267" s="334" t="s">
        <v>494</v>
      </c>
      <c r="J267" s="334" t="s">
        <v>1090</v>
      </c>
      <c r="K267" s="334" t="s">
        <v>2864</v>
      </c>
      <c r="L267" s="344"/>
      <c r="M267" s="334"/>
      <c r="N267" s="334"/>
      <c r="O267" s="345"/>
      <c r="P267" s="334"/>
      <c r="Q267" s="340"/>
      <c r="R267" s="349"/>
      <c r="S267" s="334"/>
      <c r="T267" s="334"/>
      <c r="U267" s="334"/>
      <c r="V267" s="334"/>
      <c r="W267" s="334"/>
      <c r="X267" s="334"/>
      <c r="Y267" s="334"/>
      <c r="Z267" s="334"/>
      <c r="AA267" s="334"/>
    </row>
    <row r="268" spans="1:27" ht="63" hidden="1">
      <c r="A268" s="334" t="s">
        <v>20</v>
      </c>
      <c r="B268" s="408" t="s">
        <v>54</v>
      </c>
      <c r="C268" s="334" t="s">
        <v>774</v>
      </c>
      <c r="D268" s="334" t="s">
        <v>778</v>
      </c>
      <c r="E268" s="334" t="s">
        <v>779</v>
      </c>
      <c r="F268" s="334" t="s">
        <v>2676</v>
      </c>
      <c r="G268" s="334" t="s">
        <v>62</v>
      </c>
      <c r="H268" s="334" t="s">
        <v>780</v>
      </c>
      <c r="I268" s="334">
        <v>5</v>
      </c>
      <c r="J268" s="334" t="s">
        <v>8</v>
      </c>
      <c r="K268" s="334"/>
      <c r="L268" s="344"/>
      <c r="M268" s="334"/>
      <c r="N268" s="334"/>
      <c r="O268" s="345"/>
      <c r="P268" s="334" t="s">
        <v>2819</v>
      </c>
      <c r="Q268" s="340"/>
      <c r="R268" s="349"/>
      <c r="S268" s="334"/>
      <c r="T268" s="334"/>
      <c r="U268" s="334"/>
      <c r="V268" s="334"/>
      <c r="W268" s="334"/>
      <c r="X268" s="334"/>
      <c r="Y268" s="334"/>
      <c r="Z268" s="334"/>
      <c r="AA268" s="334"/>
    </row>
    <row r="269" spans="1:27" ht="63" hidden="1">
      <c r="A269" s="334" t="s">
        <v>20</v>
      </c>
      <c r="B269" s="408" t="s">
        <v>54</v>
      </c>
      <c r="C269" s="334" t="s">
        <v>774</v>
      </c>
      <c r="D269" s="334" t="s">
        <v>781</v>
      </c>
      <c r="E269" s="334" t="s">
        <v>782</v>
      </c>
      <c r="F269" s="334" t="s">
        <v>2658</v>
      </c>
      <c r="G269" s="334" t="s">
        <v>62</v>
      </c>
      <c r="H269" s="334" t="s">
        <v>783</v>
      </c>
      <c r="I269" s="343">
        <v>0.5</v>
      </c>
      <c r="J269" s="334" t="s">
        <v>8</v>
      </c>
      <c r="K269" s="334"/>
      <c r="L269" s="344"/>
      <c r="M269" s="334"/>
      <c r="N269" s="334"/>
      <c r="O269" s="345"/>
      <c r="P269" s="334" t="s">
        <v>2819</v>
      </c>
      <c r="Q269" s="340"/>
      <c r="R269" s="349"/>
      <c r="S269" s="334"/>
      <c r="T269" s="334"/>
      <c r="U269" s="334"/>
      <c r="V269" s="334"/>
      <c r="W269" s="334"/>
      <c r="X269" s="334"/>
      <c r="Y269" s="334"/>
      <c r="Z269" s="334"/>
      <c r="AA269" s="334"/>
    </row>
    <row r="270" spans="1:27" ht="94.5" hidden="1">
      <c r="A270" s="334" t="s">
        <v>20</v>
      </c>
      <c r="B270" s="408" t="s">
        <v>54</v>
      </c>
      <c r="C270" s="334" t="s">
        <v>774</v>
      </c>
      <c r="D270" s="334" t="s">
        <v>784</v>
      </c>
      <c r="E270" s="334" t="s">
        <v>785</v>
      </c>
      <c r="F270" s="334" t="s">
        <v>2658</v>
      </c>
      <c r="G270" s="334" t="s">
        <v>62</v>
      </c>
      <c r="H270" s="334" t="s">
        <v>786</v>
      </c>
      <c r="I270" s="334" t="s">
        <v>214</v>
      </c>
      <c r="J270" s="334" t="s">
        <v>8</v>
      </c>
      <c r="K270" s="334"/>
      <c r="L270" s="344"/>
      <c r="M270" s="334"/>
      <c r="N270" s="334"/>
      <c r="O270" s="345"/>
      <c r="P270" s="334" t="s">
        <v>2819</v>
      </c>
      <c r="Q270" s="340"/>
      <c r="R270" s="349"/>
      <c r="S270" s="334"/>
      <c r="T270" s="334"/>
      <c r="U270" s="334"/>
      <c r="V270" s="334"/>
      <c r="W270" s="334"/>
      <c r="X270" s="334"/>
      <c r="Y270" s="334"/>
      <c r="Z270" s="334"/>
      <c r="AA270" s="334"/>
    </row>
    <row r="271" spans="1:27" ht="78.75" hidden="1">
      <c r="A271" s="334" t="s">
        <v>20</v>
      </c>
      <c r="B271" s="408" t="s">
        <v>54</v>
      </c>
      <c r="C271" s="334" t="s">
        <v>774</v>
      </c>
      <c r="D271" s="334" t="s">
        <v>787</v>
      </c>
      <c r="E271" s="334" t="s">
        <v>788</v>
      </c>
      <c r="F271" s="334" t="s">
        <v>2666</v>
      </c>
      <c r="G271" s="334" t="s">
        <v>62</v>
      </c>
      <c r="H271" s="334" t="s">
        <v>789</v>
      </c>
      <c r="I271" s="343">
        <v>1</v>
      </c>
      <c r="J271" s="334" t="s">
        <v>1090</v>
      </c>
      <c r="K271" s="334" t="s">
        <v>2797</v>
      </c>
      <c r="L271" s="344"/>
      <c r="M271" s="334"/>
      <c r="N271" s="334"/>
      <c r="O271" s="345"/>
      <c r="P271" s="334"/>
      <c r="Q271" s="340"/>
      <c r="R271" s="349"/>
      <c r="S271" s="334"/>
      <c r="T271" s="334"/>
      <c r="U271" s="334"/>
      <c r="V271" s="334"/>
      <c r="W271" s="334"/>
      <c r="X271" s="334"/>
      <c r="Y271" s="334"/>
      <c r="Z271" s="334"/>
      <c r="AA271" s="334"/>
    </row>
    <row r="272" spans="1:27" ht="189" hidden="1">
      <c r="A272" s="334" t="s">
        <v>20</v>
      </c>
      <c r="B272" s="408" t="s">
        <v>54</v>
      </c>
      <c r="C272" s="334" t="s">
        <v>774</v>
      </c>
      <c r="D272" s="334" t="s">
        <v>790</v>
      </c>
      <c r="E272" s="334" t="s">
        <v>791</v>
      </c>
      <c r="F272" s="334" t="s">
        <v>2666</v>
      </c>
      <c r="G272" s="334" t="s">
        <v>62</v>
      </c>
      <c r="H272" s="334" t="s">
        <v>789</v>
      </c>
      <c r="I272" s="343">
        <v>1</v>
      </c>
      <c r="J272" s="334" t="s">
        <v>1191</v>
      </c>
      <c r="K272" s="334" t="s">
        <v>2865</v>
      </c>
      <c r="L272" s="344"/>
      <c r="M272" s="334"/>
      <c r="N272" s="334"/>
      <c r="O272" s="345"/>
      <c r="P272" s="334" t="s">
        <v>2866</v>
      </c>
      <c r="Q272" s="340"/>
      <c r="R272" s="349"/>
      <c r="S272" s="334"/>
      <c r="T272" s="334"/>
      <c r="U272" s="334"/>
      <c r="V272" s="334"/>
      <c r="W272" s="334"/>
      <c r="X272" s="334"/>
      <c r="Y272" s="334"/>
      <c r="Z272" s="334"/>
      <c r="AA272" s="334"/>
    </row>
    <row r="273" spans="1:27" ht="31.5" hidden="1">
      <c r="A273" s="336" t="s">
        <v>20</v>
      </c>
      <c r="B273" s="410" t="s">
        <v>54</v>
      </c>
      <c r="C273" s="336" t="s">
        <v>792</v>
      </c>
      <c r="D273" s="336" t="s">
        <v>582</v>
      </c>
      <c r="E273" s="336" t="s">
        <v>582</v>
      </c>
      <c r="F273" s="336" t="s">
        <v>582</v>
      </c>
      <c r="G273" s="336" t="s">
        <v>582</v>
      </c>
      <c r="H273" s="336" t="s">
        <v>582</v>
      </c>
      <c r="I273" s="336" t="s">
        <v>582</v>
      </c>
      <c r="J273" s="336" t="s">
        <v>582</v>
      </c>
      <c r="K273" s="336" t="s">
        <v>582</v>
      </c>
      <c r="L273" s="336" t="s">
        <v>582</v>
      </c>
      <c r="M273" s="336" t="s">
        <v>582</v>
      </c>
      <c r="N273" s="336" t="s">
        <v>582</v>
      </c>
      <c r="O273" s="336" t="s">
        <v>582</v>
      </c>
      <c r="P273" s="336" t="s">
        <v>582</v>
      </c>
      <c r="R273" s="341" t="s">
        <v>582</v>
      </c>
      <c r="S273" s="336" t="s">
        <v>582</v>
      </c>
      <c r="T273" s="336" t="s">
        <v>582</v>
      </c>
      <c r="U273" s="336"/>
      <c r="V273" s="336" t="s">
        <v>582</v>
      </c>
      <c r="W273" s="336" t="s">
        <v>582</v>
      </c>
      <c r="X273" s="336" t="s">
        <v>582</v>
      </c>
      <c r="Y273" s="336" t="s">
        <v>582</v>
      </c>
      <c r="Z273" s="336" t="s">
        <v>582</v>
      </c>
      <c r="AA273" s="336" t="s">
        <v>582</v>
      </c>
    </row>
    <row r="274" spans="1:27" ht="78.75" hidden="1">
      <c r="A274" s="334" t="s">
        <v>20</v>
      </c>
      <c r="B274" s="335" t="s">
        <v>195</v>
      </c>
      <c r="C274" s="334" t="s">
        <v>793</v>
      </c>
      <c r="D274" s="334" t="s">
        <v>794</v>
      </c>
      <c r="E274" s="334" t="s">
        <v>795</v>
      </c>
      <c r="F274" s="334" t="s">
        <v>2666</v>
      </c>
      <c r="G274" s="334" t="s">
        <v>62</v>
      </c>
      <c r="H274" s="334" t="s">
        <v>796</v>
      </c>
      <c r="I274" s="343">
        <v>1</v>
      </c>
      <c r="J274" s="334" t="s">
        <v>1191</v>
      </c>
      <c r="K274" s="334" t="s">
        <v>2867</v>
      </c>
      <c r="L274" s="344"/>
      <c r="M274" s="334"/>
      <c r="N274" s="334"/>
      <c r="O274" s="345"/>
      <c r="P274" s="334"/>
      <c r="Q274" s="340"/>
      <c r="R274" s="349"/>
      <c r="S274" s="334"/>
      <c r="T274" s="334"/>
      <c r="U274" s="334"/>
      <c r="V274" s="334"/>
      <c r="W274" s="334"/>
      <c r="X274" s="334"/>
      <c r="Y274" s="334"/>
      <c r="Z274" s="334"/>
      <c r="AA274" s="334"/>
    </row>
    <row r="275" spans="1:27" ht="110.25" hidden="1">
      <c r="A275" s="334" t="s">
        <v>20</v>
      </c>
      <c r="B275" s="335" t="s">
        <v>195</v>
      </c>
      <c r="C275" s="334" t="s">
        <v>793</v>
      </c>
      <c r="D275" s="334" t="s">
        <v>797</v>
      </c>
      <c r="E275" s="334" t="s">
        <v>798</v>
      </c>
      <c r="F275" s="336"/>
      <c r="G275" s="336" t="s">
        <v>62</v>
      </c>
      <c r="H275" s="336"/>
      <c r="I275" s="337"/>
      <c r="J275" s="336"/>
      <c r="K275" s="336"/>
      <c r="L275" s="338"/>
      <c r="M275" s="336"/>
      <c r="N275" s="336"/>
      <c r="O275" s="339"/>
      <c r="P275" s="336"/>
      <c r="Q275" s="340"/>
      <c r="R275" s="341"/>
      <c r="S275" s="336"/>
      <c r="T275" s="336"/>
      <c r="U275" s="336"/>
      <c r="V275" s="336"/>
      <c r="W275" s="336"/>
      <c r="X275" s="336"/>
      <c r="Y275" s="336"/>
      <c r="Z275" s="336"/>
      <c r="AA275" s="336"/>
    </row>
    <row r="276" spans="1:27" ht="97.15" hidden="1" customHeight="1">
      <c r="A276" s="334" t="s">
        <v>20</v>
      </c>
      <c r="B276" s="335" t="s">
        <v>195</v>
      </c>
      <c r="C276" s="334" t="s">
        <v>793</v>
      </c>
      <c r="D276" s="334" t="s">
        <v>799</v>
      </c>
      <c r="E276" s="348" t="s">
        <v>800</v>
      </c>
      <c r="F276" s="334" t="s">
        <v>2676</v>
      </c>
      <c r="G276" s="334" t="s">
        <v>62</v>
      </c>
      <c r="H276" s="334" t="s">
        <v>801</v>
      </c>
      <c r="I276" s="343">
        <v>1</v>
      </c>
      <c r="J276" s="334" t="s">
        <v>8</v>
      </c>
      <c r="K276" s="334"/>
      <c r="L276" s="344"/>
      <c r="M276" s="334"/>
      <c r="N276" s="334"/>
      <c r="O276" s="345"/>
      <c r="P276" s="334" t="s">
        <v>2819</v>
      </c>
      <c r="Q276" s="340"/>
      <c r="R276" s="349"/>
      <c r="S276" s="334"/>
      <c r="T276" s="334"/>
      <c r="U276" s="334"/>
      <c r="V276" s="334"/>
      <c r="W276" s="334"/>
      <c r="X276" s="334"/>
      <c r="Y276" s="334"/>
      <c r="Z276" s="334"/>
      <c r="AA276" s="334"/>
    </row>
    <row r="277" spans="1:27" ht="94.5" hidden="1">
      <c r="A277" s="334" t="s">
        <v>20</v>
      </c>
      <c r="B277" s="335" t="s">
        <v>195</v>
      </c>
      <c r="C277" s="334" t="s">
        <v>793</v>
      </c>
      <c r="D277" s="334" t="s">
        <v>802</v>
      </c>
      <c r="E277" s="348" t="s">
        <v>803</v>
      </c>
      <c r="F277" s="334" t="s">
        <v>2676</v>
      </c>
      <c r="G277" s="334" t="s">
        <v>62</v>
      </c>
      <c r="H277" s="334" t="s">
        <v>804</v>
      </c>
      <c r="I277" s="343">
        <v>1</v>
      </c>
      <c r="J277" s="334" t="s">
        <v>8</v>
      </c>
      <c r="K277" s="334"/>
      <c r="L277" s="344"/>
      <c r="M277" s="334"/>
      <c r="N277" s="334"/>
      <c r="O277" s="345"/>
      <c r="P277" s="334" t="s">
        <v>2819</v>
      </c>
      <c r="Q277" s="340"/>
      <c r="R277" s="349"/>
      <c r="S277" s="334"/>
      <c r="T277" s="334"/>
      <c r="U277" s="334"/>
      <c r="V277" s="334"/>
      <c r="W277" s="334"/>
      <c r="X277" s="334"/>
      <c r="Y277" s="334"/>
      <c r="Z277" s="334"/>
      <c r="AA277" s="334"/>
    </row>
    <row r="278" spans="1:27" ht="79.900000000000006" hidden="1" customHeight="1">
      <c r="A278" s="334" t="s">
        <v>20</v>
      </c>
      <c r="B278" s="335" t="s">
        <v>195</v>
      </c>
      <c r="C278" s="334" t="s">
        <v>793</v>
      </c>
      <c r="D278" s="334" t="s">
        <v>805</v>
      </c>
      <c r="E278" s="334" t="s">
        <v>806</v>
      </c>
      <c r="F278" s="334"/>
      <c r="G278" s="334" t="s">
        <v>71</v>
      </c>
      <c r="H278" s="334" t="s">
        <v>807</v>
      </c>
      <c r="I278" s="334" t="s">
        <v>135</v>
      </c>
      <c r="J278" s="334"/>
      <c r="K278" s="334"/>
      <c r="L278" s="344"/>
      <c r="M278" s="334"/>
      <c r="N278" s="334"/>
      <c r="O278" s="345"/>
      <c r="P278" s="334"/>
      <c r="Q278" s="340"/>
      <c r="R278" s="349"/>
      <c r="S278" s="334"/>
      <c r="T278" s="334"/>
      <c r="U278" s="334"/>
      <c r="V278" s="334"/>
      <c r="W278" s="334"/>
      <c r="X278" s="334"/>
      <c r="Y278" s="334"/>
      <c r="Z278" s="334"/>
      <c r="AA278" s="334"/>
    </row>
    <row r="279" spans="1:27" ht="236.25" hidden="1">
      <c r="A279" s="334" t="s">
        <v>20</v>
      </c>
      <c r="B279" s="335" t="s">
        <v>195</v>
      </c>
      <c r="C279" s="334" t="s">
        <v>808</v>
      </c>
      <c r="D279" s="334" t="s">
        <v>809</v>
      </c>
      <c r="E279" s="334" t="s">
        <v>810</v>
      </c>
      <c r="F279" s="334" t="s">
        <v>2658</v>
      </c>
      <c r="G279" s="334" t="s">
        <v>62</v>
      </c>
      <c r="H279" s="334" t="s">
        <v>811</v>
      </c>
      <c r="I279" s="343">
        <v>1</v>
      </c>
      <c r="J279" s="334" t="s">
        <v>1090</v>
      </c>
      <c r="K279" s="334" t="s">
        <v>2868</v>
      </c>
      <c r="L279" s="344"/>
      <c r="M279" s="334"/>
      <c r="N279" s="334" t="s">
        <v>10</v>
      </c>
      <c r="O279" s="345"/>
      <c r="P279" s="334"/>
      <c r="Q279" s="340"/>
      <c r="R279" s="349"/>
      <c r="S279" s="334"/>
      <c r="T279" s="334"/>
      <c r="U279" s="334"/>
      <c r="V279" s="334"/>
      <c r="W279" s="334"/>
      <c r="X279" s="334"/>
      <c r="Y279" s="334"/>
      <c r="Z279" s="334"/>
      <c r="AA279" s="334"/>
    </row>
    <row r="280" spans="1:27" ht="94.5" hidden="1">
      <c r="A280" s="334" t="s">
        <v>20</v>
      </c>
      <c r="B280" s="335" t="s">
        <v>195</v>
      </c>
      <c r="C280" s="334" t="s">
        <v>808</v>
      </c>
      <c r="D280" s="334" t="s">
        <v>812</v>
      </c>
      <c r="E280" s="334" t="s">
        <v>813</v>
      </c>
      <c r="F280" s="334" t="s">
        <v>2658</v>
      </c>
      <c r="G280" s="334" t="s">
        <v>62</v>
      </c>
      <c r="H280" s="334" t="s">
        <v>814</v>
      </c>
      <c r="I280" s="334" t="s">
        <v>210</v>
      </c>
      <c r="J280" s="334" t="s">
        <v>1090</v>
      </c>
      <c r="K280" s="334" t="s">
        <v>2869</v>
      </c>
      <c r="L280" s="344"/>
      <c r="M280" s="334"/>
      <c r="N280" s="334" t="s">
        <v>10</v>
      </c>
      <c r="O280" s="345"/>
      <c r="P280" s="334"/>
      <c r="Q280" s="340"/>
      <c r="R280" s="349"/>
      <c r="S280" s="334"/>
      <c r="T280" s="334"/>
      <c r="U280" s="334"/>
      <c r="V280" s="334"/>
      <c r="W280" s="334"/>
      <c r="X280" s="334"/>
      <c r="Y280" s="334"/>
      <c r="Z280" s="334"/>
      <c r="AA280" s="334"/>
    </row>
    <row r="281" spans="1:27" ht="409.5" hidden="1">
      <c r="A281" s="334" t="s">
        <v>20</v>
      </c>
      <c r="B281" s="335" t="s">
        <v>195</v>
      </c>
      <c r="C281" s="334" t="s">
        <v>815</v>
      </c>
      <c r="D281" s="334" t="s">
        <v>816</v>
      </c>
      <c r="E281" s="334" t="s">
        <v>253</v>
      </c>
      <c r="F281" s="334" t="s">
        <v>2658</v>
      </c>
      <c r="G281" s="334" t="s">
        <v>62</v>
      </c>
      <c r="H281" s="334" t="s">
        <v>254</v>
      </c>
      <c r="I281" s="343">
        <v>1</v>
      </c>
      <c r="J281" s="334" t="s">
        <v>1090</v>
      </c>
      <c r="K281" s="334" t="s">
        <v>2870</v>
      </c>
      <c r="L281" s="344" t="s">
        <v>2871</v>
      </c>
      <c r="M281" s="334"/>
      <c r="N281" s="334"/>
      <c r="O281" s="345"/>
      <c r="P281" s="334" t="s">
        <v>2872</v>
      </c>
      <c r="Q281" s="340"/>
      <c r="R281" s="349"/>
      <c r="S281" s="334"/>
      <c r="T281" s="334"/>
      <c r="U281" s="334"/>
      <c r="V281" s="334"/>
      <c r="W281" s="334"/>
      <c r="X281" s="334"/>
      <c r="Y281" s="334"/>
      <c r="Z281" s="334"/>
      <c r="AA281" s="334"/>
    </row>
    <row r="282" spans="1:27" ht="204.75" hidden="1">
      <c r="A282" s="334" t="s">
        <v>20</v>
      </c>
      <c r="B282" s="335" t="s">
        <v>195</v>
      </c>
      <c r="C282" s="334" t="s">
        <v>815</v>
      </c>
      <c r="D282" s="334" t="s">
        <v>817</v>
      </c>
      <c r="E282" s="334" t="s">
        <v>818</v>
      </c>
      <c r="F282" s="336"/>
      <c r="G282" s="336" t="s">
        <v>62</v>
      </c>
      <c r="H282" s="336"/>
      <c r="I282" s="337"/>
      <c r="J282" s="336"/>
      <c r="K282" s="336"/>
      <c r="L282" s="338"/>
      <c r="M282" s="336"/>
      <c r="N282" s="336"/>
      <c r="O282" s="339"/>
      <c r="P282" s="336"/>
      <c r="Q282" s="340"/>
      <c r="R282" s="341"/>
      <c r="S282" s="336"/>
      <c r="T282" s="336"/>
      <c r="U282" s="336"/>
      <c r="V282" s="336"/>
      <c r="W282" s="336"/>
      <c r="X282" s="336"/>
      <c r="Y282" s="336"/>
      <c r="Z282" s="336"/>
      <c r="AA282" s="336"/>
    </row>
    <row r="283" spans="1:27" ht="330.75" hidden="1">
      <c r="A283" s="334" t="s">
        <v>20</v>
      </c>
      <c r="B283" s="335" t="s">
        <v>195</v>
      </c>
      <c r="C283" s="334" t="s">
        <v>815</v>
      </c>
      <c r="D283" s="334" t="s">
        <v>819</v>
      </c>
      <c r="E283" s="348" t="s">
        <v>820</v>
      </c>
      <c r="F283" s="334" t="s">
        <v>2658</v>
      </c>
      <c r="G283" s="334" t="s">
        <v>62</v>
      </c>
      <c r="H283" s="334" t="s">
        <v>821</v>
      </c>
      <c r="I283" s="343">
        <v>1</v>
      </c>
      <c r="J283" s="334" t="s">
        <v>1090</v>
      </c>
      <c r="K283" s="334" t="s">
        <v>2873</v>
      </c>
      <c r="L283" s="344"/>
      <c r="M283" s="334"/>
      <c r="N283" s="334"/>
      <c r="O283" s="345"/>
      <c r="P283" s="334" t="s">
        <v>2874</v>
      </c>
      <c r="Q283" s="340"/>
      <c r="R283" s="349"/>
      <c r="S283" s="334"/>
      <c r="T283" s="334"/>
      <c r="U283" s="334"/>
      <c r="V283" s="334"/>
      <c r="W283" s="334"/>
      <c r="X283" s="334"/>
      <c r="Y283" s="334"/>
      <c r="Z283" s="334"/>
      <c r="AA283" s="334"/>
    </row>
    <row r="284" spans="1:27" ht="110.25" hidden="1">
      <c r="A284" s="334" t="s">
        <v>20</v>
      </c>
      <c r="B284" s="335" t="s">
        <v>195</v>
      </c>
      <c r="C284" s="334" t="s">
        <v>815</v>
      </c>
      <c r="D284" s="334" t="s">
        <v>822</v>
      </c>
      <c r="E284" s="348" t="s">
        <v>823</v>
      </c>
      <c r="F284" s="334" t="s">
        <v>2676</v>
      </c>
      <c r="G284" s="334" t="s">
        <v>62</v>
      </c>
      <c r="H284" s="334" t="s">
        <v>824</v>
      </c>
      <c r="I284" s="343">
        <v>1</v>
      </c>
      <c r="J284" s="334" t="s">
        <v>8</v>
      </c>
      <c r="K284" s="334"/>
      <c r="L284" s="344"/>
      <c r="M284" s="334"/>
      <c r="N284" s="334"/>
      <c r="O284" s="345"/>
      <c r="P284" s="334" t="s">
        <v>2819</v>
      </c>
      <c r="Q284" s="340"/>
      <c r="R284" s="349"/>
      <c r="S284" s="334"/>
      <c r="T284" s="334"/>
      <c r="U284" s="334"/>
      <c r="V284" s="334"/>
      <c r="W284" s="334"/>
      <c r="X284" s="334"/>
      <c r="Y284" s="334"/>
      <c r="Z284" s="334"/>
      <c r="AA284" s="334"/>
    </row>
    <row r="285" spans="1:27" ht="110.25" hidden="1">
      <c r="A285" s="334" t="s">
        <v>20</v>
      </c>
      <c r="B285" s="335" t="s">
        <v>195</v>
      </c>
      <c r="C285" s="334" t="s">
        <v>815</v>
      </c>
      <c r="D285" s="334" t="s">
        <v>825</v>
      </c>
      <c r="E285" s="334" t="s">
        <v>826</v>
      </c>
      <c r="F285" s="334" t="s">
        <v>2666</v>
      </c>
      <c r="G285" s="334" t="s">
        <v>62</v>
      </c>
      <c r="H285" s="334" t="s">
        <v>827</v>
      </c>
      <c r="I285" s="343">
        <v>1</v>
      </c>
      <c r="J285" s="334" t="s">
        <v>1191</v>
      </c>
      <c r="K285" s="334" t="s">
        <v>2875</v>
      </c>
      <c r="L285" s="344"/>
      <c r="M285" s="334"/>
      <c r="N285" s="334"/>
      <c r="O285" s="345"/>
      <c r="P285" s="334"/>
      <c r="Q285" s="340"/>
      <c r="R285" s="349"/>
      <c r="S285" s="334"/>
      <c r="T285" s="334"/>
      <c r="U285" s="334"/>
      <c r="V285" s="334"/>
      <c r="W285" s="334"/>
      <c r="X285" s="334"/>
      <c r="Y285" s="334"/>
      <c r="Z285" s="334"/>
      <c r="AA285" s="334"/>
    </row>
    <row r="286" spans="1:27" ht="220.5" hidden="1">
      <c r="A286" s="334" t="s">
        <v>20</v>
      </c>
      <c r="B286" s="335" t="s">
        <v>195</v>
      </c>
      <c r="C286" s="334" t="s">
        <v>815</v>
      </c>
      <c r="D286" s="334" t="s">
        <v>828</v>
      </c>
      <c r="E286" s="334" t="s">
        <v>829</v>
      </c>
      <c r="F286" s="334" t="s">
        <v>2666</v>
      </c>
      <c r="G286" s="334" t="s">
        <v>62</v>
      </c>
      <c r="H286" s="334" t="s">
        <v>830</v>
      </c>
      <c r="I286" s="334" t="s">
        <v>831</v>
      </c>
      <c r="J286" s="334" t="s">
        <v>1191</v>
      </c>
      <c r="K286" s="334" t="s">
        <v>2876</v>
      </c>
      <c r="L286" s="344"/>
      <c r="M286" s="334"/>
      <c r="N286" s="334"/>
      <c r="O286" s="345"/>
      <c r="P286" s="334" t="s">
        <v>2877</v>
      </c>
      <c r="Q286" s="340"/>
      <c r="R286" s="349"/>
      <c r="S286" s="334"/>
      <c r="T286" s="334"/>
      <c r="U286" s="334"/>
      <c r="V286" s="334"/>
      <c r="W286" s="334"/>
      <c r="X286" s="334"/>
      <c r="Y286" s="334"/>
      <c r="Z286" s="334"/>
      <c r="AA286" s="334"/>
    </row>
    <row r="287" spans="1:27" ht="47.25" hidden="1">
      <c r="A287" s="334" t="s">
        <v>20</v>
      </c>
      <c r="B287" s="335" t="s">
        <v>195</v>
      </c>
      <c r="C287" s="334" t="s">
        <v>815</v>
      </c>
      <c r="D287" s="334" t="s">
        <v>832</v>
      </c>
      <c r="E287" s="334" t="s">
        <v>833</v>
      </c>
      <c r="F287" s="334"/>
      <c r="G287" s="334" t="s">
        <v>62</v>
      </c>
      <c r="H287" s="334" t="s">
        <v>834</v>
      </c>
      <c r="I287" s="343">
        <v>0.8</v>
      </c>
      <c r="J287" s="334" t="s">
        <v>8</v>
      </c>
      <c r="K287" s="334"/>
      <c r="L287" s="344"/>
      <c r="M287" s="334"/>
      <c r="N287" s="334"/>
      <c r="O287" s="345"/>
      <c r="P287" s="334" t="s">
        <v>2819</v>
      </c>
      <c r="Q287" s="340"/>
      <c r="R287" s="349"/>
      <c r="S287" s="334"/>
      <c r="T287" s="334"/>
      <c r="U287" s="334"/>
      <c r="V287" s="334"/>
      <c r="W287" s="334"/>
      <c r="X287" s="334"/>
      <c r="Y287" s="334"/>
      <c r="Z287" s="334"/>
      <c r="AA287" s="334"/>
    </row>
    <row r="288" spans="1:27" ht="63" hidden="1">
      <c r="A288" s="334" t="s">
        <v>20</v>
      </c>
      <c r="B288" s="335" t="s">
        <v>195</v>
      </c>
      <c r="C288" s="334" t="s">
        <v>835</v>
      </c>
      <c r="D288" s="334" t="s">
        <v>836</v>
      </c>
      <c r="E288" s="334" t="s">
        <v>837</v>
      </c>
      <c r="F288" s="334"/>
      <c r="G288" s="334" t="s">
        <v>62</v>
      </c>
      <c r="H288" s="334" t="s">
        <v>783</v>
      </c>
      <c r="I288" s="343">
        <v>0.5</v>
      </c>
      <c r="J288" s="334" t="s">
        <v>8</v>
      </c>
      <c r="K288" s="334"/>
      <c r="L288" s="344"/>
      <c r="M288" s="334"/>
      <c r="N288" s="334"/>
      <c r="O288" s="345"/>
      <c r="P288" s="334" t="s">
        <v>2819</v>
      </c>
      <c r="Q288" s="340"/>
      <c r="R288" s="349"/>
      <c r="S288" s="334"/>
      <c r="T288" s="334"/>
      <c r="U288" s="334"/>
      <c r="V288" s="334"/>
      <c r="W288" s="334"/>
      <c r="X288" s="334"/>
      <c r="Y288" s="334"/>
      <c r="Z288" s="334"/>
      <c r="AA288" s="334"/>
    </row>
    <row r="289" spans="1:51" ht="236.25" hidden="1">
      <c r="A289" s="334" t="s">
        <v>20</v>
      </c>
      <c r="B289" s="335" t="s">
        <v>195</v>
      </c>
      <c r="C289" s="334" t="s">
        <v>835</v>
      </c>
      <c r="D289" s="334" t="s">
        <v>838</v>
      </c>
      <c r="E289" s="334" t="s">
        <v>839</v>
      </c>
      <c r="F289" s="334" t="s">
        <v>2658</v>
      </c>
      <c r="G289" s="334" t="s">
        <v>62</v>
      </c>
      <c r="H289" s="334" t="s">
        <v>259</v>
      </c>
      <c r="I289" s="334" t="s">
        <v>210</v>
      </c>
      <c r="J289" s="334" t="s">
        <v>1090</v>
      </c>
      <c r="K289" s="334" t="s">
        <v>2878</v>
      </c>
      <c r="L289" s="344"/>
      <c r="M289" s="334"/>
      <c r="N289" s="334" t="s">
        <v>10</v>
      </c>
      <c r="O289" s="345"/>
      <c r="P289" s="334"/>
      <c r="Q289" s="340"/>
      <c r="R289" s="349"/>
      <c r="S289" s="334"/>
      <c r="T289" s="334"/>
      <c r="U289" s="334"/>
      <c r="V289" s="334"/>
      <c r="W289" s="334"/>
      <c r="X289" s="334"/>
      <c r="Y289" s="334"/>
      <c r="Z289" s="334"/>
      <c r="AA289" s="334"/>
    </row>
    <row r="290" spans="1:51" ht="63" hidden="1">
      <c r="A290" s="334" t="s">
        <v>20</v>
      </c>
      <c r="B290" s="335" t="s">
        <v>195</v>
      </c>
      <c r="C290" s="334" t="s">
        <v>835</v>
      </c>
      <c r="D290" s="334" t="s">
        <v>840</v>
      </c>
      <c r="E290" s="334" t="s">
        <v>841</v>
      </c>
      <c r="F290" s="334" t="s">
        <v>2658</v>
      </c>
      <c r="G290" s="334" t="s">
        <v>62</v>
      </c>
      <c r="H290" s="334" t="s">
        <v>842</v>
      </c>
      <c r="I290" s="334" t="s">
        <v>210</v>
      </c>
      <c r="J290" s="334" t="s">
        <v>1191</v>
      </c>
      <c r="K290" s="334" t="s">
        <v>2879</v>
      </c>
      <c r="L290" s="344"/>
      <c r="M290" s="334"/>
      <c r="N290" s="334"/>
      <c r="O290" s="345"/>
      <c r="P290" s="334"/>
      <c r="Q290" s="340"/>
      <c r="R290" s="349"/>
      <c r="S290" s="334"/>
      <c r="T290" s="334"/>
      <c r="U290" s="334"/>
      <c r="V290" s="334"/>
      <c r="W290" s="334"/>
      <c r="X290" s="334"/>
      <c r="Y290" s="334"/>
      <c r="Z290" s="334"/>
      <c r="AA290" s="334"/>
    </row>
    <row r="291" spans="1:51" ht="63" hidden="1">
      <c r="A291" s="334" t="s">
        <v>20</v>
      </c>
      <c r="B291" s="335" t="s">
        <v>195</v>
      </c>
      <c r="C291" s="334" t="s">
        <v>835</v>
      </c>
      <c r="D291" s="334" t="s">
        <v>843</v>
      </c>
      <c r="E291" s="334" t="s">
        <v>844</v>
      </c>
      <c r="F291" s="334" t="s">
        <v>2666</v>
      </c>
      <c r="G291" s="334" t="s">
        <v>62</v>
      </c>
      <c r="H291" s="334" t="s">
        <v>845</v>
      </c>
      <c r="I291" s="334" t="s">
        <v>846</v>
      </c>
      <c r="J291" s="334" t="s">
        <v>1191</v>
      </c>
      <c r="K291" s="334" t="s">
        <v>2880</v>
      </c>
      <c r="L291" s="344" t="s">
        <v>1380</v>
      </c>
      <c r="M291" s="334"/>
      <c r="N291" s="334"/>
      <c r="O291" s="345"/>
      <c r="P291" s="334"/>
      <c r="Q291" s="340"/>
      <c r="R291" s="349"/>
      <c r="S291" s="334"/>
      <c r="T291" s="334"/>
      <c r="U291" s="334"/>
      <c r="V291" s="334"/>
      <c r="W291" s="334"/>
      <c r="X291" s="334"/>
      <c r="Y291" s="334"/>
      <c r="Z291" s="334"/>
      <c r="AA291" s="334"/>
    </row>
    <row r="292" spans="1:51" ht="110.25" hidden="1">
      <c r="A292" s="334" t="s">
        <v>20</v>
      </c>
      <c r="B292" s="335" t="s">
        <v>195</v>
      </c>
      <c r="C292" s="334" t="s">
        <v>835</v>
      </c>
      <c r="D292" s="334" t="s">
        <v>847</v>
      </c>
      <c r="E292" s="334" t="s">
        <v>848</v>
      </c>
      <c r="F292" s="334" t="s">
        <v>2658</v>
      </c>
      <c r="G292" s="334" t="s">
        <v>62</v>
      </c>
      <c r="H292" s="334" t="s">
        <v>849</v>
      </c>
      <c r="I292" s="334" t="s">
        <v>135</v>
      </c>
      <c r="J292" s="334" t="s">
        <v>1191</v>
      </c>
      <c r="K292" s="334" t="s">
        <v>2881</v>
      </c>
      <c r="L292" s="344" t="s">
        <v>1380</v>
      </c>
      <c r="M292" s="334"/>
      <c r="N292" s="334" t="s">
        <v>10</v>
      </c>
      <c r="O292" s="345"/>
      <c r="P292" s="334" t="s">
        <v>2882</v>
      </c>
      <c r="Q292" s="340"/>
      <c r="R292" s="349"/>
      <c r="S292" s="334"/>
      <c r="T292" s="334"/>
      <c r="U292" s="334"/>
      <c r="V292" s="334"/>
      <c r="W292" s="334"/>
      <c r="X292" s="334"/>
      <c r="Y292" s="334"/>
      <c r="Z292" s="334"/>
      <c r="AA292" s="334"/>
    </row>
    <row r="293" spans="1:51" ht="126" hidden="1">
      <c r="A293" s="334" t="s">
        <v>20</v>
      </c>
      <c r="B293" s="335" t="s">
        <v>274</v>
      </c>
      <c r="C293" s="334" t="s">
        <v>850</v>
      </c>
      <c r="D293" s="334" t="s">
        <v>851</v>
      </c>
      <c r="E293" s="334" t="s">
        <v>852</v>
      </c>
      <c r="F293" s="334" t="s">
        <v>2666</v>
      </c>
      <c r="G293" s="334" t="s">
        <v>62</v>
      </c>
      <c r="H293" s="334" t="s">
        <v>853</v>
      </c>
      <c r="I293" s="334" t="s">
        <v>697</v>
      </c>
      <c r="J293" s="334" t="s">
        <v>1191</v>
      </c>
      <c r="K293" s="334" t="s">
        <v>2883</v>
      </c>
      <c r="L293" s="344"/>
      <c r="M293" s="334"/>
      <c r="N293" s="334"/>
      <c r="O293" s="345"/>
      <c r="P293" s="334"/>
      <c r="Q293" s="340"/>
      <c r="R293" s="349"/>
      <c r="S293" s="334"/>
      <c r="T293" s="334"/>
      <c r="U293" s="334"/>
      <c r="V293" s="334"/>
      <c r="W293" s="334"/>
      <c r="X293" s="334"/>
      <c r="Y293" s="334"/>
      <c r="Z293" s="334"/>
      <c r="AA293" s="334"/>
    </row>
    <row r="294" spans="1:51" ht="78.75" hidden="1">
      <c r="A294" s="334" t="s">
        <v>20</v>
      </c>
      <c r="B294" s="335" t="s">
        <v>274</v>
      </c>
      <c r="C294" s="334" t="s">
        <v>850</v>
      </c>
      <c r="D294" s="334" t="s">
        <v>854</v>
      </c>
      <c r="E294" s="334" t="s">
        <v>855</v>
      </c>
      <c r="F294" s="334" t="s">
        <v>2666</v>
      </c>
      <c r="G294" s="334" t="s">
        <v>62</v>
      </c>
      <c r="H294" s="334" t="s">
        <v>856</v>
      </c>
      <c r="I294" s="334" t="s">
        <v>701</v>
      </c>
      <c r="J294" s="334" t="s">
        <v>8</v>
      </c>
      <c r="K294" s="334"/>
      <c r="L294" s="344"/>
      <c r="M294" s="334"/>
      <c r="N294" s="334"/>
      <c r="O294" s="345"/>
      <c r="P294" s="334" t="s">
        <v>2819</v>
      </c>
      <c r="Q294" s="340"/>
      <c r="R294" s="349"/>
      <c r="S294" s="334"/>
      <c r="T294" s="334"/>
      <c r="U294" s="334"/>
      <c r="V294" s="334"/>
      <c r="W294" s="334"/>
      <c r="X294" s="334"/>
      <c r="Y294" s="334"/>
      <c r="Z294" s="334"/>
      <c r="AA294" s="334"/>
    </row>
    <row r="295" spans="1:51" ht="78.75" hidden="1">
      <c r="A295" s="334" t="s">
        <v>20</v>
      </c>
      <c r="B295" s="335" t="s">
        <v>274</v>
      </c>
      <c r="C295" s="334" t="s">
        <v>850</v>
      </c>
      <c r="D295" s="334" t="s">
        <v>857</v>
      </c>
      <c r="E295" s="334" t="s">
        <v>858</v>
      </c>
      <c r="F295" s="334" t="s">
        <v>2666</v>
      </c>
      <c r="G295" s="334" t="s">
        <v>62</v>
      </c>
      <c r="H295" s="334" t="s">
        <v>859</v>
      </c>
      <c r="I295" s="343">
        <v>0.5</v>
      </c>
      <c r="J295" s="334" t="s">
        <v>1191</v>
      </c>
      <c r="K295" s="334" t="s">
        <v>2884</v>
      </c>
      <c r="L295" s="344"/>
      <c r="M295" s="334"/>
      <c r="N295" s="334"/>
      <c r="O295" s="345"/>
      <c r="P295" s="334" t="s">
        <v>2885</v>
      </c>
      <c r="Q295" s="340"/>
      <c r="R295" s="349"/>
      <c r="S295" s="334"/>
      <c r="T295" s="334"/>
      <c r="U295" s="334"/>
      <c r="V295" s="334"/>
      <c r="W295" s="334"/>
      <c r="X295" s="334"/>
      <c r="Y295" s="334"/>
      <c r="Z295" s="334"/>
      <c r="AA295" s="334"/>
    </row>
    <row r="296" spans="1:51" ht="47.25" hidden="1">
      <c r="A296" s="334" t="s">
        <v>20</v>
      </c>
      <c r="B296" s="335" t="s">
        <v>274</v>
      </c>
      <c r="C296" s="334" t="s">
        <v>850</v>
      </c>
      <c r="D296" s="334" t="s">
        <v>860</v>
      </c>
      <c r="E296" s="334" t="s">
        <v>861</v>
      </c>
      <c r="F296" s="334" t="s">
        <v>2676</v>
      </c>
      <c r="G296" s="334" t="s">
        <v>62</v>
      </c>
      <c r="H296" s="334" t="s">
        <v>862</v>
      </c>
      <c r="I296" s="343">
        <v>0.5</v>
      </c>
      <c r="J296" s="334" t="s">
        <v>8</v>
      </c>
      <c r="K296" s="334"/>
      <c r="L296" s="344"/>
      <c r="M296" s="334"/>
      <c r="N296" s="334"/>
      <c r="O296" s="345"/>
      <c r="P296" s="334" t="s">
        <v>2819</v>
      </c>
      <c r="Q296" s="340"/>
      <c r="R296" s="349"/>
      <c r="S296" s="334"/>
      <c r="T296" s="334"/>
      <c r="U296" s="334"/>
      <c r="V296" s="334"/>
      <c r="W296" s="334"/>
      <c r="X296" s="334"/>
      <c r="Y296" s="334"/>
      <c r="Z296" s="334"/>
      <c r="AA296" s="334"/>
    </row>
    <row r="297" spans="1:51" ht="78.75" hidden="1">
      <c r="A297" s="334" t="s">
        <v>20</v>
      </c>
      <c r="B297" s="335" t="s">
        <v>274</v>
      </c>
      <c r="C297" s="334" t="s">
        <v>850</v>
      </c>
      <c r="D297" s="334" t="s">
        <v>863</v>
      </c>
      <c r="E297" s="334" t="s">
        <v>864</v>
      </c>
      <c r="F297" s="334" t="s">
        <v>2666</v>
      </c>
      <c r="G297" s="334" t="s">
        <v>62</v>
      </c>
      <c r="H297" s="334" t="s">
        <v>865</v>
      </c>
      <c r="I297" s="343">
        <v>0.5</v>
      </c>
      <c r="J297" s="334" t="s">
        <v>8</v>
      </c>
      <c r="K297" s="334"/>
      <c r="L297" s="344"/>
      <c r="M297" s="334"/>
      <c r="N297" s="334"/>
      <c r="O297" s="345"/>
      <c r="P297" s="334" t="s">
        <v>2819</v>
      </c>
      <c r="Q297" s="340"/>
      <c r="R297" s="349"/>
      <c r="S297" s="334"/>
      <c r="T297" s="334"/>
      <c r="U297" s="334"/>
      <c r="V297" s="334"/>
      <c r="W297" s="334"/>
      <c r="X297" s="334"/>
      <c r="Y297" s="334"/>
      <c r="Z297" s="334"/>
      <c r="AA297" s="334"/>
    </row>
    <row r="298" spans="1:51" s="392" customFormat="1" ht="78.75" hidden="1">
      <c r="A298" s="336" t="s">
        <v>20</v>
      </c>
      <c r="B298" s="390" t="s">
        <v>274</v>
      </c>
      <c r="C298" s="336" t="s">
        <v>866</v>
      </c>
      <c r="D298" s="336" t="s">
        <v>582</v>
      </c>
      <c r="E298" s="336" t="s">
        <v>582</v>
      </c>
      <c r="F298" s="336" t="s">
        <v>582</v>
      </c>
      <c r="G298" s="336" t="s">
        <v>582</v>
      </c>
      <c r="H298" s="336" t="s">
        <v>582</v>
      </c>
      <c r="I298" s="336" t="s">
        <v>582</v>
      </c>
      <c r="J298" s="336" t="s">
        <v>582</v>
      </c>
      <c r="K298" s="336" t="s">
        <v>582</v>
      </c>
      <c r="L298" s="336" t="s">
        <v>582</v>
      </c>
      <c r="M298" s="336" t="s">
        <v>582</v>
      </c>
      <c r="N298" s="336"/>
      <c r="O298" s="336"/>
      <c r="P298" s="336"/>
      <c r="Q298" s="391"/>
      <c r="R298" s="341"/>
      <c r="S298" s="336"/>
      <c r="T298" s="336"/>
      <c r="U298" s="336"/>
      <c r="V298" s="336"/>
      <c r="W298" s="336"/>
      <c r="X298" s="336"/>
      <c r="Y298" s="336"/>
      <c r="Z298" s="336"/>
      <c r="AA298" s="336"/>
      <c r="AB298" s="327"/>
      <c r="AC298" s="327"/>
      <c r="AD298" s="327"/>
      <c r="AE298" s="327"/>
      <c r="AF298" s="327"/>
      <c r="AG298" s="327"/>
      <c r="AH298" s="327"/>
      <c r="AI298" s="327"/>
      <c r="AJ298" s="327"/>
      <c r="AK298" s="327"/>
      <c r="AL298" s="327"/>
      <c r="AM298" s="327"/>
      <c r="AN298" s="327"/>
      <c r="AO298" s="327"/>
      <c r="AP298" s="327"/>
      <c r="AQ298" s="327"/>
      <c r="AR298" s="327"/>
      <c r="AS298" s="327"/>
      <c r="AT298" s="327"/>
      <c r="AU298" s="327"/>
      <c r="AV298" s="327"/>
      <c r="AW298" s="327"/>
      <c r="AX298" s="327"/>
      <c r="AY298" s="327"/>
    </row>
    <row r="299" spans="1:51" s="392" customFormat="1" ht="47.25" hidden="1">
      <c r="A299" s="336" t="s">
        <v>20</v>
      </c>
      <c r="B299" s="390" t="s">
        <v>274</v>
      </c>
      <c r="C299" s="336" t="s">
        <v>867</v>
      </c>
      <c r="D299" s="336" t="s">
        <v>582</v>
      </c>
      <c r="E299" s="336" t="s">
        <v>582</v>
      </c>
      <c r="F299" s="336" t="s">
        <v>582</v>
      </c>
      <c r="G299" s="336" t="s">
        <v>582</v>
      </c>
      <c r="H299" s="336" t="s">
        <v>582</v>
      </c>
      <c r="I299" s="336" t="s">
        <v>582</v>
      </c>
      <c r="J299" s="336" t="s">
        <v>582</v>
      </c>
      <c r="K299" s="336" t="s">
        <v>582</v>
      </c>
      <c r="L299" s="336" t="s">
        <v>582</v>
      </c>
      <c r="M299" s="336" t="s">
        <v>582</v>
      </c>
      <c r="N299" s="336"/>
      <c r="O299" s="336"/>
      <c r="P299" s="336"/>
      <c r="Q299" s="391"/>
      <c r="R299" s="341"/>
      <c r="S299" s="336"/>
      <c r="T299" s="336"/>
      <c r="U299" s="336"/>
      <c r="V299" s="336"/>
      <c r="W299" s="336"/>
      <c r="X299" s="336"/>
      <c r="Y299" s="336"/>
      <c r="Z299" s="336"/>
      <c r="AA299" s="336"/>
      <c r="AB299" s="327"/>
      <c r="AC299" s="327"/>
      <c r="AD299" s="327"/>
      <c r="AE299" s="327"/>
      <c r="AF299" s="327"/>
      <c r="AG299" s="327"/>
      <c r="AH299" s="327"/>
      <c r="AI299" s="327"/>
      <c r="AJ299" s="327"/>
      <c r="AK299" s="327"/>
      <c r="AL299" s="327"/>
      <c r="AM299" s="327"/>
      <c r="AN299" s="327"/>
      <c r="AO299" s="327"/>
      <c r="AP299" s="327"/>
      <c r="AQ299" s="327"/>
      <c r="AR299" s="327"/>
      <c r="AS299" s="327"/>
      <c r="AT299" s="327"/>
      <c r="AU299" s="327"/>
      <c r="AV299" s="327"/>
      <c r="AW299" s="327"/>
      <c r="AX299" s="327"/>
      <c r="AY299" s="327"/>
    </row>
    <row r="300" spans="1:51" ht="409.5" hidden="1">
      <c r="A300" s="334" t="s">
        <v>20</v>
      </c>
      <c r="B300" s="335" t="s">
        <v>274</v>
      </c>
      <c r="C300" s="334" t="s">
        <v>868</v>
      </c>
      <c r="D300" s="334" t="s">
        <v>869</v>
      </c>
      <c r="E300" s="334" t="s">
        <v>870</v>
      </c>
      <c r="F300" s="334" t="s">
        <v>2666</v>
      </c>
      <c r="G300" s="334" t="s">
        <v>62</v>
      </c>
      <c r="H300" s="334" t="s">
        <v>871</v>
      </c>
      <c r="I300" s="334" t="s">
        <v>210</v>
      </c>
      <c r="J300" s="334" t="s">
        <v>1191</v>
      </c>
      <c r="K300" s="334" t="s">
        <v>2886</v>
      </c>
      <c r="L300" s="344" t="s">
        <v>2329</v>
      </c>
      <c r="M300" s="334"/>
      <c r="N300" s="334"/>
      <c r="O300" s="345"/>
      <c r="P300" s="334"/>
      <c r="Q300" s="340"/>
      <c r="R300" s="349"/>
      <c r="S300" s="334"/>
      <c r="T300" s="334"/>
      <c r="U300" s="334"/>
      <c r="V300" s="334"/>
      <c r="W300" s="334"/>
      <c r="X300" s="334"/>
      <c r="Y300" s="334"/>
      <c r="Z300" s="334"/>
      <c r="AA300" s="334"/>
    </row>
    <row r="301" spans="1:51" ht="78.75" hidden="1">
      <c r="A301" s="334" t="s">
        <v>20</v>
      </c>
      <c r="B301" s="335" t="s">
        <v>274</v>
      </c>
      <c r="C301" s="334" t="s">
        <v>868</v>
      </c>
      <c r="D301" s="334" t="s">
        <v>872</v>
      </c>
      <c r="E301" s="334" t="s">
        <v>873</v>
      </c>
      <c r="F301" s="334" t="s">
        <v>2658</v>
      </c>
      <c r="G301" s="334" t="s">
        <v>62</v>
      </c>
      <c r="H301" s="334" t="s">
        <v>874</v>
      </c>
      <c r="I301" s="334" t="s">
        <v>875</v>
      </c>
      <c r="J301" s="334" t="s">
        <v>1090</v>
      </c>
      <c r="K301" s="334" t="s">
        <v>2887</v>
      </c>
      <c r="L301" s="344"/>
      <c r="M301" s="334"/>
      <c r="N301" s="334"/>
      <c r="O301" s="345"/>
      <c r="P301" s="334" t="s">
        <v>2888</v>
      </c>
      <c r="Q301" s="340"/>
      <c r="R301" s="349"/>
      <c r="S301" s="334"/>
      <c r="T301" s="334"/>
      <c r="U301" s="334"/>
      <c r="V301" s="334"/>
      <c r="W301" s="334"/>
      <c r="X301" s="334"/>
      <c r="Y301" s="334"/>
      <c r="Z301" s="334"/>
      <c r="AA301" s="334"/>
    </row>
    <row r="302" spans="1:51" ht="63" hidden="1">
      <c r="A302" s="334" t="s">
        <v>20</v>
      </c>
      <c r="B302" s="335" t="s">
        <v>274</v>
      </c>
      <c r="C302" s="334" t="s">
        <v>876</v>
      </c>
      <c r="D302" s="334" t="s">
        <v>877</v>
      </c>
      <c r="E302" s="334" t="s">
        <v>878</v>
      </c>
      <c r="F302" s="336"/>
      <c r="G302" s="336" t="s">
        <v>62</v>
      </c>
      <c r="H302" s="336"/>
      <c r="I302" s="337">
        <v>1</v>
      </c>
      <c r="J302" s="336"/>
      <c r="K302" s="336"/>
      <c r="L302" s="338"/>
      <c r="M302" s="336"/>
      <c r="N302" s="336"/>
      <c r="O302" s="339"/>
      <c r="P302" s="336"/>
      <c r="Q302" s="340"/>
      <c r="R302" s="341"/>
      <c r="S302" s="336"/>
      <c r="T302" s="336"/>
      <c r="U302" s="336"/>
      <c r="V302" s="336"/>
      <c r="W302" s="336"/>
      <c r="X302" s="336"/>
      <c r="Y302" s="336"/>
      <c r="Z302" s="336"/>
      <c r="AA302" s="334"/>
    </row>
    <row r="303" spans="1:51" ht="63" hidden="1">
      <c r="A303" s="334" t="s">
        <v>20</v>
      </c>
      <c r="B303" s="335" t="s">
        <v>587</v>
      </c>
      <c r="C303" s="334" t="s">
        <v>876</v>
      </c>
      <c r="D303" s="334" t="s">
        <v>879</v>
      </c>
      <c r="E303" s="348" t="s">
        <v>880</v>
      </c>
      <c r="F303" s="334" t="s">
        <v>2658</v>
      </c>
      <c r="G303" s="334" t="s">
        <v>62</v>
      </c>
      <c r="H303" s="334" t="s">
        <v>591</v>
      </c>
      <c r="I303" s="343">
        <v>1</v>
      </c>
      <c r="J303" s="334" t="s">
        <v>8</v>
      </c>
      <c r="K303" s="334"/>
      <c r="L303" s="344"/>
      <c r="M303" s="334"/>
      <c r="N303" s="334"/>
      <c r="O303" s="345"/>
      <c r="P303" s="334" t="s">
        <v>2819</v>
      </c>
      <c r="Q303" s="340"/>
      <c r="R303" s="349"/>
      <c r="S303" s="334"/>
      <c r="T303" s="334"/>
      <c r="U303" s="334"/>
      <c r="V303" s="334"/>
      <c r="W303" s="334"/>
      <c r="X303" s="334"/>
      <c r="Y303" s="334"/>
      <c r="Z303" s="334"/>
      <c r="AA303" s="334"/>
    </row>
    <row r="304" spans="1:51" ht="63" hidden="1">
      <c r="A304" s="334" t="s">
        <v>20</v>
      </c>
      <c r="B304" s="335" t="s">
        <v>587</v>
      </c>
      <c r="C304" s="334" t="s">
        <v>876</v>
      </c>
      <c r="D304" s="334" t="s">
        <v>881</v>
      </c>
      <c r="E304" s="348" t="s">
        <v>882</v>
      </c>
      <c r="F304" s="334" t="s">
        <v>2658</v>
      </c>
      <c r="G304" s="334" t="s">
        <v>62</v>
      </c>
      <c r="H304" s="334" t="s">
        <v>591</v>
      </c>
      <c r="I304" s="343">
        <v>2</v>
      </c>
      <c r="J304" s="334" t="s">
        <v>1090</v>
      </c>
      <c r="K304" s="334" t="s">
        <v>2889</v>
      </c>
      <c r="L304" s="344"/>
      <c r="M304" s="334"/>
      <c r="N304" s="334"/>
      <c r="O304" s="345"/>
      <c r="P304" s="334" t="s">
        <v>2890</v>
      </c>
      <c r="Q304" s="340"/>
      <c r="R304" s="349"/>
      <c r="S304" s="334"/>
      <c r="T304" s="334"/>
      <c r="U304" s="334"/>
      <c r="V304" s="334"/>
      <c r="W304" s="334"/>
      <c r="X304" s="334"/>
      <c r="Y304" s="334"/>
      <c r="Z304" s="334"/>
      <c r="AA304" s="334"/>
    </row>
    <row r="305" spans="1:27" ht="63" hidden="1">
      <c r="A305" s="334" t="s">
        <v>20</v>
      </c>
      <c r="B305" s="335" t="s">
        <v>587</v>
      </c>
      <c r="C305" s="334" t="s">
        <v>876</v>
      </c>
      <c r="D305" s="334" t="s">
        <v>883</v>
      </c>
      <c r="E305" s="348" t="s">
        <v>884</v>
      </c>
      <c r="F305" s="334" t="s">
        <v>2658</v>
      </c>
      <c r="G305" s="334" t="s">
        <v>62</v>
      </c>
      <c r="H305" s="334" t="s">
        <v>591</v>
      </c>
      <c r="I305" s="343">
        <v>3</v>
      </c>
      <c r="J305" s="334" t="s">
        <v>8</v>
      </c>
      <c r="K305" s="334"/>
      <c r="L305" s="344"/>
      <c r="M305" s="334"/>
      <c r="N305" s="334"/>
      <c r="O305" s="345"/>
      <c r="P305" s="334" t="s">
        <v>2819</v>
      </c>
      <c r="Q305" s="340"/>
      <c r="R305" s="349"/>
      <c r="S305" s="334"/>
      <c r="T305" s="334"/>
      <c r="U305" s="334"/>
      <c r="V305" s="334"/>
      <c r="W305" s="334"/>
      <c r="X305" s="334"/>
      <c r="Y305" s="334"/>
      <c r="Z305" s="334"/>
      <c r="AA305" s="334"/>
    </row>
    <row r="306" spans="1:27" ht="63" hidden="1">
      <c r="A306" s="334" t="s">
        <v>20</v>
      </c>
      <c r="B306" s="335" t="s">
        <v>587</v>
      </c>
      <c r="C306" s="334" t="s">
        <v>876</v>
      </c>
      <c r="D306" s="334" t="s">
        <v>885</v>
      </c>
      <c r="E306" s="348" t="s">
        <v>886</v>
      </c>
      <c r="F306" s="334" t="s">
        <v>2666</v>
      </c>
      <c r="G306" s="334" t="s">
        <v>62</v>
      </c>
      <c r="H306" s="334" t="s">
        <v>591</v>
      </c>
      <c r="I306" s="343">
        <v>4</v>
      </c>
      <c r="J306" s="334" t="s">
        <v>8</v>
      </c>
      <c r="K306" s="334"/>
      <c r="L306" s="344"/>
      <c r="M306" s="334"/>
      <c r="N306" s="334"/>
      <c r="O306" s="345"/>
      <c r="P306" s="334" t="s">
        <v>2819</v>
      </c>
      <c r="Q306" s="340"/>
      <c r="R306" s="349"/>
      <c r="S306" s="334"/>
      <c r="T306" s="334"/>
      <c r="U306" s="334"/>
      <c r="V306" s="334"/>
      <c r="W306" s="334"/>
      <c r="X306" s="334"/>
      <c r="Y306" s="334"/>
      <c r="Z306" s="334"/>
      <c r="AA306" s="334"/>
    </row>
    <row r="307" spans="1:27" ht="78.75" hidden="1">
      <c r="A307" s="334" t="s">
        <v>20</v>
      </c>
      <c r="B307" s="335" t="s">
        <v>587</v>
      </c>
      <c r="C307" s="334" t="s">
        <v>876</v>
      </c>
      <c r="D307" s="334" t="s">
        <v>887</v>
      </c>
      <c r="E307" s="348" t="s">
        <v>888</v>
      </c>
      <c r="F307" s="334" t="s">
        <v>2658</v>
      </c>
      <c r="G307" s="334" t="s">
        <v>62</v>
      </c>
      <c r="H307" s="334" t="s">
        <v>591</v>
      </c>
      <c r="I307" s="343">
        <v>5</v>
      </c>
      <c r="J307" s="334" t="s">
        <v>8</v>
      </c>
      <c r="K307" s="334"/>
      <c r="L307" s="344"/>
      <c r="M307" s="334"/>
      <c r="N307" s="334"/>
      <c r="O307" s="345"/>
      <c r="P307" s="334" t="s">
        <v>2819</v>
      </c>
      <c r="Q307" s="340"/>
      <c r="R307" s="349"/>
      <c r="S307" s="334"/>
      <c r="T307" s="334"/>
      <c r="U307" s="334"/>
      <c r="V307" s="334"/>
      <c r="W307" s="334"/>
      <c r="X307" s="334"/>
      <c r="Y307" s="334"/>
      <c r="Z307" s="334"/>
      <c r="AA307" s="334"/>
    </row>
    <row r="308" spans="1:27" ht="56.25" hidden="1">
      <c r="A308" s="334" t="s">
        <v>20</v>
      </c>
      <c r="B308" s="335" t="s">
        <v>587</v>
      </c>
      <c r="C308" s="334" t="s">
        <v>876</v>
      </c>
      <c r="D308" s="334" t="s">
        <v>889</v>
      </c>
      <c r="E308" s="334" t="s">
        <v>890</v>
      </c>
      <c r="F308" s="334" t="s">
        <v>2658</v>
      </c>
      <c r="G308" s="334" t="s">
        <v>58</v>
      </c>
      <c r="H308" s="334" t="s">
        <v>891</v>
      </c>
      <c r="I308" s="343">
        <v>0.5</v>
      </c>
      <c r="J308" s="334" t="s">
        <v>8</v>
      </c>
      <c r="K308" s="334"/>
      <c r="L308" s="344"/>
      <c r="M308" s="334"/>
      <c r="N308" s="334"/>
      <c r="O308" s="345"/>
      <c r="P308" s="334" t="s">
        <v>2819</v>
      </c>
      <c r="Q308" s="340"/>
      <c r="R308" s="349"/>
      <c r="S308" s="334"/>
      <c r="T308" s="334"/>
      <c r="U308" s="334"/>
      <c r="V308" s="334"/>
      <c r="W308" s="334"/>
      <c r="X308" s="334"/>
      <c r="Y308" s="334"/>
      <c r="Z308" s="334"/>
      <c r="AA308" s="334"/>
    </row>
    <row r="309" spans="1:27" ht="56.25" hidden="1">
      <c r="A309" s="334" t="s">
        <v>20</v>
      </c>
      <c r="B309" s="335" t="s">
        <v>587</v>
      </c>
      <c r="C309" s="334" t="s">
        <v>876</v>
      </c>
      <c r="D309" s="334" t="s">
        <v>892</v>
      </c>
      <c r="E309" s="334" t="s">
        <v>893</v>
      </c>
      <c r="F309" s="334"/>
      <c r="G309" s="334" t="s">
        <v>62</v>
      </c>
      <c r="H309" s="334" t="s">
        <v>894</v>
      </c>
      <c r="I309" s="343">
        <v>1</v>
      </c>
      <c r="J309" s="334" t="s">
        <v>8</v>
      </c>
      <c r="K309" s="334"/>
      <c r="L309" s="344"/>
      <c r="M309" s="334"/>
      <c r="N309" s="334"/>
      <c r="O309" s="345"/>
      <c r="P309" s="334" t="s">
        <v>2819</v>
      </c>
      <c r="Q309" s="340"/>
      <c r="R309" s="349"/>
      <c r="S309" s="334"/>
      <c r="T309" s="334"/>
      <c r="U309" s="334"/>
      <c r="V309" s="334"/>
      <c r="W309" s="334"/>
      <c r="X309" s="334"/>
      <c r="Y309" s="334"/>
      <c r="Z309" s="334"/>
      <c r="AA309" s="334"/>
    </row>
    <row r="310" spans="1:27" ht="56.25" hidden="1">
      <c r="A310" s="334" t="s">
        <v>20</v>
      </c>
      <c r="B310" s="335" t="s">
        <v>587</v>
      </c>
      <c r="C310" s="334" t="s">
        <v>876</v>
      </c>
      <c r="D310" s="334" t="s">
        <v>895</v>
      </c>
      <c r="E310" s="334" t="s">
        <v>896</v>
      </c>
      <c r="F310" s="334"/>
      <c r="G310" s="334" t="s">
        <v>62</v>
      </c>
      <c r="H310" s="334" t="s">
        <v>894</v>
      </c>
      <c r="I310" s="343">
        <v>1</v>
      </c>
      <c r="J310" s="334" t="s">
        <v>8</v>
      </c>
      <c r="K310" s="334"/>
      <c r="L310" s="344"/>
      <c r="M310" s="334"/>
      <c r="N310" s="334"/>
      <c r="O310" s="345"/>
      <c r="P310" s="334" t="s">
        <v>2819</v>
      </c>
      <c r="Q310" s="340"/>
      <c r="R310" s="349"/>
      <c r="S310" s="334"/>
      <c r="T310" s="334"/>
      <c r="U310" s="334"/>
      <c r="V310" s="334"/>
      <c r="W310" s="334"/>
      <c r="X310" s="334"/>
      <c r="Y310" s="334"/>
      <c r="Z310" s="334"/>
      <c r="AA310" s="334"/>
    </row>
    <row r="311" spans="1:27" ht="63" hidden="1">
      <c r="A311" s="334" t="s">
        <v>20</v>
      </c>
      <c r="B311" s="335" t="s">
        <v>587</v>
      </c>
      <c r="C311" s="334" t="s">
        <v>897</v>
      </c>
      <c r="D311" s="334" t="s">
        <v>898</v>
      </c>
      <c r="E311" s="334" t="s">
        <v>899</v>
      </c>
      <c r="F311" s="334"/>
      <c r="G311" s="334" t="s">
        <v>62</v>
      </c>
      <c r="H311" s="334" t="s">
        <v>735</v>
      </c>
      <c r="I311" s="343">
        <v>1</v>
      </c>
      <c r="J311" s="334" t="s">
        <v>8</v>
      </c>
      <c r="K311" s="334"/>
      <c r="L311" s="344"/>
      <c r="M311" s="334"/>
      <c r="N311" s="334"/>
      <c r="O311" s="345"/>
      <c r="P311" s="334" t="s">
        <v>2819</v>
      </c>
      <c r="Q311" s="340"/>
      <c r="R311" s="349"/>
      <c r="S311" s="334"/>
      <c r="T311" s="334"/>
      <c r="U311" s="334"/>
      <c r="V311" s="334"/>
      <c r="W311" s="334"/>
      <c r="X311" s="334"/>
      <c r="Y311" s="334"/>
      <c r="Z311" s="334"/>
      <c r="AA311" s="334"/>
    </row>
    <row r="312" spans="1:27" ht="63" hidden="1">
      <c r="A312" s="334" t="s">
        <v>20</v>
      </c>
      <c r="B312" s="335" t="s">
        <v>587</v>
      </c>
      <c r="C312" s="334" t="s">
        <v>897</v>
      </c>
      <c r="D312" s="334" t="s">
        <v>900</v>
      </c>
      <c r="E312" s="334" t="s">
        <v>899</v>
      </c>
      <c r="F312" s="334"/>
      <c r="G312" s="334" t="s">
        <v>62</v>
      </c>
      <c r="H312" s="334" t="s">
        <v>428</v>
      </c>
      <c r="I312" s="343">
        <v>1</v>
      </c>
      <c r="J312" s="334" t="s">
        <v>8</v>
      </c>
      <c r="K312" s="334"/>
      <c r="L312" s="344"/>
      <c r="M312" s="334"/>
      <c r="N312" s="334"/>
      <c r="O312" s="345"/>
      <c r="P312" s="334" t="s">
        <v>2819</v>
      </c>
      <c r="Q312" s="340"/>
      <c r="R312" s="349"/>
      <c r="S312" s="334"/>
      <c r="T312" s="334"/>
      <c r="U312" s="334"/>
      <c r="V312" s="334"/>
      <c r="W312" s="334"/>
      <c r="X312" s="334"/>
      <c r="Y312" s="334"/>
      <c r="Z312" s="334"/>
      <c r="AA312" s="334"/>
    </row>
    <row r="313" spans="1:27" ht="78.75" hidden="1">
      <c r="A313" s="334" t="s">
        <v>20</v>
      </c>
      <c r="B313" s="335" t="s">
        <v>587</v>
      </c>
      <c r="C313" s="334" t="s">
        <v>901</v>
      </c>
      <c r="D313" s="334" t="s">
        <v>902</v>
      </c>
      <c r="E313" s="334" t="s">
        <v>903</v>
      </c>
      <c r="F313" s="334" t="s">
        <v>2658</v>
      </c>
      <c r="G313" s="334" t="s">
        <v>62</v>
      </c>
      <c r="H313" s="334" t="s">
        <v>623</v>
      </c>
      <c r="I313" s="343">
        <v>1</v>
      </c>
      <c r="J313" s="334" t="s">
        <v>8</v>
      </c>
      <c r="K313" s="334"/>
      <c r="L313" s="344"/>
      <c r="M313" s="334"/>
      <c r="N313" s="334"/>
      <c r="O313" s="345"/>
      <c r="P313" s="334" t="s">
        <v>2819</v>
      </c>
      <c r="Q313" s="340"/>
      <c r="R313" s="349"/>
      <c r="S313" s="334"/>
      <c r="T313" s="334"/>
      <c r="U313" s="334"/>
      <c r="V313" s="334"/>
      <c r="W313" s="334"/>
      <c r="X313" s="334"/>
      <c r="Y313" s="334"/>
      <c r="Z313" s="334"/>
      <c r="AA313" s="334"/>
    </row>
    <row r="314" spans="1:27" ht="78.75" hidden="1">
      <c r="A314" s="334" t="s">
        <v>20</v>
      </c>
      <c r="B314" s="335" t="s">
        <v>587</v>
      </c>
      <c r="C314" s="334" t="s">
        <v>901</v>
      </c>
      <c r="D314" s="334" t="s">
        <v>904</v>
      </c>
      <c r="E314" s="334" t="s">
        <v>905</v>
      </c>
      <c r="F314" s="334" t="s">
        <v>2676</v>
      </c>
      <c r="G314" s="334" t="s">
        <v>62</v>
      </c>
      <c r="H314" s="334" t="s">
        <v>742</v>
      </c>
      <c r="I314" s="343">
        <v>0.5</v>
      </c>
      <c r="J314" s="334" t="s">
        <v>8</v>
      </c>
      <c r="K314" s="334"/>
      <c r="L314" s="344"/>
      <c r="M314" s="334"/>
      <c r="N314" s="334"/>
      <c r="O314" s="345"/>
      <c r="P314" s="334" t="s">
        <v>2819</v>
      </c>
      <c r="Q314" s="340"/>
      <c r="R314" s="349"/>
      <c r="S314" s="334"/>
      <c r="T314" s="334"/>
      <c r="U314" s="334"/>
      <c r="V314" s="334"/>
      <c r="W314" s="334"/>
      <c r="X314" s="334"/>
      <c r="Y314" s="334"/>
      <c r="Z314" s="334"/>
      <c r="AA314" s="334"/>
    </row>
    <row r="315" spans="1:27" ht="78.75" hidden="1">
      <c r="A315" s="334" t="s">
        <v>20</v>
      </c>
      <c r="B315" s="335" t="s">
        <v>587</v>
      </c>
      <c r="C315" s="334" t="s">
        <v>901</v>
      </c>
      <c r="D315" s="334" t="s">
        <v>906</v>
      </c>
      <c r="E315" s="334" t="s">
        <v>907</v>
      </c>
      <c r="F315" s="334" t="s">
        <v>2676</v>
      </c>
      <c r="G315" s="334" t="s">
        <v>58</v>
      </c>
      <c r="H315" s="334" t="s">
        <v>745</v>
      </c>
      <c r="I315" s="343">
        <v>0.5</v>
      </c>
      <c r="J315" s="334" t="s">
        <v>8</v>
      </c>
      <c r="K315" s="334"/>
      <c r="L315" s="344"/>
      <c r="M315" s="334"/>
      <c r="N315" s="334"/>
      <c r="O315" s="345"/>
      <c r="P315" s="334" t="s">
        <v>2819</v>
      </c>
      <c r="Q315" s="340"/>
      <c r="R315" s="349"/>
      <c r="S315" s="334"/>
      <c r="T315" s="334"/>
      <c r="U315" s="334"/>
      <c r="V315" s="334"/>
      <c r="W315" s="334"/>
      <c r="X315" s="334"/>
      <c r="Y315" s="334"/>
      <c r="Z315" s="334"/>
      <c r="AA315" s="334"/>
    </row>
    <row r="316" spans="1:27" ht="94.5" hidden="1">
      <c r="A316" s="334" t="s">
        <v>20</v>
      </c>
      <c r="B316" s="335" t="s">
        <v>587</v>
      </c>
      <c r="C316" s="334" t="s">
        <v>908</v>
      </c>
      <c r="D316" s="334" t="s">
        <v>909</v>
      </c>
      <c r="E316" s="334" t="s">
        <v>910</v>
      </c>
      <c r="F316" s="334" t="s">
        <v>2676</v>
      </c>
      <c r="G316" s="334" t="s">
        <v>62</v>
      </c>
      <c r="H316" s="334" t="s">
        <v>911</v>
      </c>
      <c r="I316" s="343">
        <v>0.5</v>
      </c>
      <c r="J316" s="334" t="s">
        <v>8</v>
      </c>
      <c r="K316" s="334"/>
      <c r="L316" s="344"/>
      <c r="M316" s="334"/>
      <c r="N316" s="334"/>
      <c r="O316" s="345"/>
      <c r="P316" s="334" t="s">
        <v>2819</v>
      </c>
      <c r="Q316" s="340"/>
      <c r="R316" s="349"/>
      <c r="S316" s="334"/>
      <c r="T316" s="334"/>
      <c r="U316" s="334"/>
      <c r="V316" s="334"/>
      <c r="W316" s="334"/>
      <c r="X316" s="334"/>
      <c r="Y316" s="334"/>
      <c r="Z316" s="334"/>
      <c r="AA316" s="334"/>
    </row>
    <row r="317" spans="1:27" ht="94.5" hidden="1">
      <c r="A317" s="334" t="s">
        <v>20</v>
      </c>
      <c r="B317" s="335" t="s">
        <v>587</v>
      </c>
      <c r="C317" s="334" t="s">
        <v>908</v>
      </c>
      <c r="D317" s="334" t="s">
        <v>912</v>
      </c>
      <c r="E317" s="334" t="s">
        <v>913</v>
      </c>
      <c r="F317" s="334" t="s">
        <v>2676</v>
      </c>
      <c r="G317" s="334" t="s">
        <v>62</v>
      </c>
      <c r="H317" s="334" t="s">
        <v>859</v>
      </c>
      <c r="I317" s="343">
        <v>0.5</v>
      </c>
      <c r="J317" s="334" t="s">
        <v>8</v>
      </c>
      <c r="K317" s="334"/>
      <c r="L317" s="344"/>
      <c r="M317" s="334"/>
      <c r="N317" s="334"/>
      <c r="O317" s="345"/>
      <c r="P317" s="334" t="s">
        <v>2819</v>
      </c>
      <c r="Q317" s="340"/>
      <c r="R317" s="349"/>
      <c r="S317" s="334"/>
      <c r="T317" s="334"/>
      <c r="U317" s="334"/>
      <c r="V317" s="334"/>
      <c r="W317" s="334"/>
      <c r="X317" s="334"/>
      <c r="Y317" s="334"/>
      <c r="Z317" s="334"/>
      <c r="AA317" s="334"/>
    </row>
    <row r="318" spans="1:27" ht="78.75" hidden="1">
      <c r="A318" s="334" t="s">
        <v>20</v>
      </c>
      <c r="B318" s="335" t="s">
        <v>587</v>
      </c>
      <c r="C318" s="334" t="s">
        <v>908</v>
      </c>
      <c r="D318" s="334" t="s">
        <v>914</v>
      </c>
      <c r="E318" s="334" t="s">
        <v>915</v>
      </c>
      <c r="F318" s="334" t="s">
        <v>2676</v>
      </c>
      <c r="G318" s="334" t="s">
        <v>62</v>
      </c>
      <c r="H318" s="334" t="s">
        <v>916</v>
      </c>
      <c r="I318" s="343">
        <v>0.5</v>
      </c>
      <c r="J318" s="334" t="s">
        <v>8</v>
      </c>
      <c r="K318" s="334"/>
      <c r="L318" s="344"/>
      <c r="M318" s="334"/>
      <c r="N318" s="334"/>
      <c r="O318" s="345"/>
      <c r="P318" s="334" t="s">
        <v>2819</v>
      </c>
      <c r="Q318" s="340"/>
      <c r="R318" s="349"/>
      <c r="S318" s="334"/>
      <c r="T318" s="334"/>
      <c r="U318" s="334"/>
      <c r="V318" s="334"/>
      <c r="W318" s="334"/>
      <c r="X318" s="334"/>
      <c r="Y318" s="334"/>
      <c r="Z318" s="334"/>
      <c r="AA318" s="334"/>
    </row>
    <row r="319" spans="1:27" hidden="1">
      <c r="A319" s="411" t="s">
        <v>917</v>
      </c>
      <c r="B319" s="412"/>
      <c r="C319" s="413"/>
      <c r="D319" s="413"/>
      <c r="E319" s="413"/>
      <c r="F319" s="413"/>
      <c r="G319" s="413"/>
      <c r="H319" s="413"/>
      <c r="I319" s="414"/>
      <c r="J319" s="413"/>
      <c r="K319" s="413"/>
      <c r="L319" s="413"/>
      <c r="M319" s="413"/>
      <c r="N319" s="413"/>
      <c r="O319" s="413"/>
      <c r="P319" s="415"/>
      <c r="Q319" s="416"/>
      <c r="R319" s="417"/>
      <c r="S319" s="413"/>
      <c r="T319" s="413"/>
      <c r="U319" s="413"/>
      <c r="V319" s="413"/>
      <c r="W319" s="413"/>
      <c r="X319" s="413"/>
      <c r="Y319" s="413"/>
      <c r="Z319" s="413"/>
      <c r="AA319" s="413"/>
    </row>
    <row r="320" spans="1:27" ht="63" hidden="1">
      <c r="A320" s="334" t="s">
        <v>22</v>
      </c>
      <c r="B320" s="408" t="s">
        <v>54</v>
      </c>
      <c r="C320" s="409" t="s">
        <v>918</v>
      </c>
      <c r="D320" s="409" t="s">
        <v>919</v>
      </c>
      <c r="E320" s="409" t="s">
        <v>920</v>
      </c>
      <c r="F320" s="336"/>
      <c r="G320" s="418" t="s">
        <v>62</v>
      </c>
      <c r="H320" s="418" t="s">
        <v>921</v>
      </c>
      <c r="I320" s="418" t="s">
        <v>485</v>
      </c>
      <c r="J320" s="336"/>
      <c r="K320" s="336"/>
      <c r="L320" s="338"/>
      <c r="M320" s="336"/>
      <c r="N320" s="336"/>
      <c r="O320" s="339"/>
      <c r="P320" s="336"/>
      <c r="Q320" s="340"/>
      <c r="R320" s="341"/>
      <c r="S320" s="336"/>
      <c r="T320" s="336"/>
      <c r="U320" s="336"/>
      <c r="V320" s="336"/>
      <c r="W320" s="336"/>
      <c r="X320" s="336"/>
      <c r="Y320" s="336"/>
      <c r="Z320" s="336"/>
      <c r="AA320" s="334"/>
    </row>
    <row r="321" spans="1:51" ht="63" hidden="1">
      <c r="A321" s="334" t="s">
        <v>22</v>
      </c>
      <c r="B321" s="408" t="s">
        <v>54</v>
      </c>
      <c r="C321" s="409" t="s">
        <v>918</v>
      </c>
      <c r="D321" s="409" t="s">
        <v>922</v>
      </c>
      <c r="E321" s="348" t="s">
        <v>923</v>
      </c>
      <c r="F321" s="334" t="s">
        <v>2658</v>
      </c>
      <c r="G321" s="409" t="s">
        <v>62</v>
      </c>
      <c r="H321" s="409" t="s">
        <v>921</v>
      </c>
      <c r="I321" s="409" t="s">
        <v>485</v>
      </c>
      <c r="J321" s="334" t="s">
        <v>1090</v>
      </c>
      <c r="K321" s="334" t="s">
        <v>2891</v>
      </c>
      <c r="L321" s="344"/>
      <c r="M321" s="334"/>
      <c r="N321" s="334"/>
      <c r="O321" s="345"/>
      <c r="P321" s="334"/>
      <c r="Q321" s="340"/>
      <c r="R321" s="349"/>
      <c r="S321" s="334"/>
      <c r="T321" s="334"/>
      <c r="U321" s="334"/>
      <c r="V321" s="334"/>
      <c r="W321" s="334"/>
      <c r="X321" s="334"/>
      <c r="Y321" s="334"/>
      <c r="Z321" s="334"/>
      <c r="AA321" s="334"/>
    </row>
    <row r="322" spans="1:51" ht="409.5" hidden="1">
      <c r="A322" s="334" t="s">
        <v>22</v>
      </c>
      <c r="B322" s="408" t="s">
        <v>54</v>
      </c>
      <c r="C322" s="409" t="s">
        <v>918</v>
      </c>
      <c r="D322" s="409" t="s">
        <v>924</v>
      </c>
      <c r="E322" s="348" t="s">
        <v>925</v>
      </c>
      <c r="F322" s="334" t="s">
        <v>2676</v>
      </c>
      <c r="G322" s="409" t="s">
        <v>62</v>
      </c>
      <c r="H322" s="409" t="s">
        <v>921</v>
      </c>
      <c r="I322" s="409" t="s">
        <v>485</v>
      </c>
      <c r="J322" s="334" t="s">
        <v>1090</v>
      </c>
      <c r="K322" s="334" t="s">
        <v>2892</v>
      </c>
      <c r="L322" s="344"/>
      <c r="M322" s="334"/>
      <c r="N322" s="334"/>
      <c r="O322" s="345"/>
      <c r="P322" s="334"/>
      <c r="Q322" s="340"/>
      <c r="R322" s="349"/>
      <c r="S322" s="334"/>
      <c r="T322" s="334"/>
      <c r="U322" s="334"/>
      <c r="V322" s="334"/>
      <c r="W322" s="334"/>
      <c r="X322" s="334"/>
      <c r="Y322" s="334"/>
      <c r="Z322" s="334"/>
      <c r="AA322" s="334"/>
    </row>
    <row r="323" spans="1:51" ht="63" hidden="1">
      <c r="A323" s="334" t="s">
        <v>22</v>
      </c>
      <c r="B323" s="408" t="s">
        <v>54</v>
      </c>
      <c r="C323" s="409" t="s">
        <v>918</v>
      </c>
      <c r="D323" s="409" t="s">
        <v>926</v>
      </c>
      <c r="E323" s="348" t="s">
        <v>927</v>
      </c>
      <c r="F323" s="334" t="s">
        <v>2658</v>
      </c>
      <c r="G323" s="409" t="s">
        <v>62</v>
      </c>
      <c r="H323" s="409" t="s">
        <v>921</v>
      </c>
      <c r="I323" s="409" t="s">
        <v>485</v>
      </c>
      <c r="J323" s="334" t="s">
        <v>1191</v>
      </c>
      <c r="K323" s="334" t="s">
        <v>2893</v>
      </c>
      <c r="L323" s="344" t="s">
        <v>1380</v>
      </c>
      <c r="M323" s="334"/>
      <c r="N323" s="334"/>
      <c r="O323" s="345"/>
      <c r="P323" s="334"/>
      <c r="Q323" s="340"/>
      <c r="R323" s="349"/>
      <c r="S323" s="334"/>
      <c r="T323" s="334"/>
      <c r="U323" s="334"/>
      <c r="V323" s="334"/>
      <c r="W323" s="334"/>
      <c r="X323" s="334"/>
      <c r="Y323" s="334"/>
      <c r="Z323" s="334"/>
      <c r="AA323" s="334"/>
    </row>
    <row r="324" spans="1:51" ht="63" hidden="1">
      <c r="A324" s="334" t="s">
        <v>22</v>
      </c>
      <c r="B324" s="408" t="s">
        <v>54</v>
      </c>
      <c r="C324" s="409" t="s">
        <v>928</v>
      </c>
      <c r="D324" s="409" t="s">
        <v>929</v>
      </c>
      <c r="E324" s="409" t="s">
        <v>930</v>
      </c>
      <c r="F324" s="336"/>
      <c r="G324" s="418" t="s">
        <v>62</v>
      </c>
      <c r="H324" s="336"/>
      <c r="I324" s="336"/>
      <c r="J324" s="336"/>
      <c r="K324" s="336"/>
      <c r="L324" s="338"/>
      <c r="M324" s="336"/>
      <c r="N324" s="336"/>
      <c r="O324" s="339"/>
      <c r="P324" s="336"/>
      <c r="Q324" s="340"/>
      <c r="R324" s="341"/>
      <c r="S324" s="336"/>
      <c r="T324" s="336"/>
      <c r="U324" s="336"/>
      <c r="V324" s="336"/>
      <c r="W324" s="336"/>
      <c r="X324" s="336"/>
      <c r="Y324" s="336"/>
      <c r="Z324" s="336"/>
      <c r="AA324" s="334"/>
    </row>
    <row r="325" spans="1:51" ht="78.75" hidden="1">
      <c r="A325" s="334" t="s">
        <v>22</v>
      </c>
      <c r="B325" s="408" t="s">
        <v>54</v>
      </c>
      <c r="C325" s="409" t="s">
        <v>928</v>
      </c>
      <c r="D325" s="409" t="s">
        <v>931</v>
      </c>
      <c r="E325" s="348" t="s">
        <v>932</v>
      </c>
      <c r="F325" s="334" t="s">
        <v>2658</v>
      </c>
      <c r="G325" s="409" t="s">
        <v>62</v>
      </c>
      <c r="H325" s="409" t="s">
        <v>493</v>
      </c>
      <c r="I325" s="409" t="s">
        <v>933</v>
      </c>
      <c r="J325" s="334" t="s">
        <v>8</v>
      </c>
      <c r="K325" s="334"/>
      <c r="L325" s="344"/>
      <c r="M325" s="334"/>
      <c r="N325" s="334"/>
      <c r="O325" s="345"/>
      <c r="P325" s="334" t="s">
        <v>2819</v>
      </c>
      <c r="Q325" s="340"/>
      <c r="R325" s="349"/>
      <c r="S325" s="334"/>
      <c r="T325" s="334"/>
      <c r="U325" s="334"/>
      <c r="V325" s="334"/>
      <c r="W325" s="334"/>
      <c r="X325" s="334"/>
      <c r="Y325" s="334"/>
      <c r="Z325" s="334"/>
      <c r="AA325" s="334"/>
    </row>
    <row r="326" spans="1:51" ht="204.75" hidden="1">
      <c r="A326" s="334" t="s">
        <v>22</v>
      </c>
      <c r="B326" s="408" t="s">
        <v>54</v>
      </c>
      <c r="C326" s="409" t="s">
        <v>928</v>
      </c>
      <c r="D326" s="409" t="s">
        <v>934</v>
      </c>
      <c r="E326" s="348" t="s">
        <v>935</v>
      </c>
      <c r="F326" s="334" t="s">
        <v>2658</v>
      </c>
      <c r="G326" s="409" t="s">
        <v>62</v>
      </c>
      <c r="H326" s="409" t="s">
        <v>493</v>
      </c>
      <c r="I326" s="409" t="s">
        <v>933</v>
      </c>
      <c r="J326" s="334" t="s">
        <v>1191</v>
      </c>
      <c r="K326" s="334" t="s">
        <v>2894</v>
      </c>
      <c r="L326" s="344"/>
      <c r="M326" s="334"/>
      <c r="N326" s="334" t="s">
        <v>10</v>
      </c>
      <c r="O326" s="345"/>
      <c r="P326" s="334" t="s">
        <v>2895</v>
      </c>
      <c r="Q326" s="340"/>
      <c r="R326" s="349"/>
      <c r="S326" s="334"/>
      <c r="T326" s="334"/>
      <c r="U326" s="334"/>
      <c r="V326" s="334"/>
      <c r="W326" s="334"/>
      <c r="X326" s="334"/>
      <c r="Y326" s="334"/>
      <c r="Z326" s="334"/>
      <c r="AA326" s="334"/>
    </row>
    <row r="327" spans="1:51" ht="220.5" hidden="1">
      <c r="A327" s="334" t="s">
        <v>22</v>
      </c>
      <c r="B327" s="408" t="s">
        <v>54</v>
      </c>
      <c r="C327" s="409" t="s">
        <v>928</v>
      </c>
      <c r="D327" s="409" t="s">
        <v>936</v>
      </c>
      <c r="E327" s="348" t="s">
        <v>937</v>
      </c>
      <c r="F327" s="334" t="s">
        <v>2658</v>
      </c>
      <c r="G327" s="409" t="s">
        <v>62</v>
      </c>
      <c r="H327" s="409" t="s">
        <v>493</v>
      </c>
      <c r="I327" s="409" t="s">
        <v>933</v>
      </c>
      <c r="J327" s="334" t="s">
        <v>1191</v>
      </c>
      <c r="K327" s="334" t="s">
        <v>2896</v>
      </c>
      <c r="L327" s="344"/>
      <c r="M327" s="334"/>
      <c r="N327" s="334" t="s">
        <v>10</v>
      </c>
      <c r="O327" s="345"/>
      <c r="P327" s="334" t="s">
        <v>2897</v>
      </c>
      <c r="Q327" s="340"/>
      <c r="R327" s="349"/>
      <c r="S327" s="334"/>
      <c r="T327" s="334"/>
      <c r="U327" s="334"/>
      <c r="V327" s="334"/>
      <c r="W327" s="334"/>
      <c r="X327" s="334"/>
      <c r="Y327" s="334"/>
      <c r="Z327" s="334"/>
      <c r="AA327" s="334"/>
    </row>
    <row r="328" spans="1:51" ht="110.25" hidden="1">
      <c r="A328" s="334" t="s">
        <v>22</v>
      </c>
      <c r="B328" s="408" t="s">
        <v>54</v>
      </c>
      <c r="C328" s="409" t="s">
        <v>928</v>
      </c>
      <c r="D328" s="409" t="s">
        <v>938</v>
      </c>
      <c r="E328" s="348" t="s">
        <v>939</v>
      </c>
      <c r="F328" s="334" t="s">
        <v>2666</v>
      </c>
      <c r="G328" s="409" t="s">
        <v>62</v>
      </c>
      <c r="H328" s="409" t="s">
        <v>493</v>
      </c>
      <c r="I328" s="409" t="s">
        <v>933</v>
      </c>
      <c r="J328" s="334" t="s">
        <v>1191</v>
      </c>
      <c r="K328" s="334" t="s">
        <v>2898</v>
      </c>
      <c r="L328" s="344"/>
      <c r="M328" s="334"/>
      <c r="N328" s="334"/>
      <c r="O328" s="345"/>
      <c r="P328" s="334"/>
      <c r="Q328" s="340"/>
      <c r="R328" s="349"/>
      <c r="S328" s="334"/>
      <c r="T328" s="334"/>
      <c r="U328" s="334"/>
      <c r="V328" s="334"/>
      <c r="W328" s="334"/>
      <c r="X328" s="334"/>
      <c r="Y328" s="334"/>
      <c r="Z328" s="334"/>
      <c r="AA328" s="334"/>
    </row>
    <row r="329" spans="1:51" ht="111.6" hidden="1" customHeight="1">
      <c r="A329" s="334" t="s">
        <v>22</v>
      </c>
      <c r="B329" s="408" t="s">
        <v>54</v>
      </c>
      <c r="C329" s="409" t="s">
        <v>928</v>
      </c>
      <c r="D329" s="409" t="s">
        <v>940</v>
      </c>
      <c r="E329" s="409" t="s">
        <v>941</v>
      </c>
      <c r="F329" s="334" t="s">
        <v>2676</v>
      </c>
      <c r="G329" s="409" t="s">
        <v>62</v>
      </c>
      <c r="H329" s="409" t="s">
        <v>525</v>
      </c>
      <c r="I329" s="409" t="s">
        <v>526</v>
      </c>
      <c r="J329" s="334" t="s">
        <v>1191</v>
      </c>
      <c r="K329" s="334" t="s">
        <v>2899</v>
      </c>
      <c r="L329" s="344"/>
      <c r="M329" s="334"/>
      <c r="N329" s="334"/>
      <c r="O329" s="345"/>
      <c r="P329" s="334"/>
      <c r="Q329" s="340"/>
      <c r="R329" s="349"/>
      <c r="S329" s="334"/>
      <c r="T329" s="334"/>
      <c r="U329" s="334"/>
      <c r="V329" s="334"/>
      <c r="W329" s="334"/>
      <c r="X329" s="334"/>
      <c r="Y329" s="334"/>
      <c r="Z329" s="334"/>
      <c r="AA329" s="334"/>
    </row>
    <row r="330" spans="1:51" ht="67.900000000000006" hidden="1" customHeight="1">
      <c r="A330" s="334" t="s">
        <v>22</v>
      </c>
      <c r="B330" s="408" t="s">
        <v>54</v>
      </c>
      <c r="C330" s="409" t="s">
        <v>928</v>
      </c>
      <c r="D330" s="409" t="s">
        <v>942</v>
      </c>
      <c r="E330" s="409" t="s">
        <v>943</v>
      </c>
      <c r="F330" s="334" t="s">
        <v>2658</v>
      </c>
      <c r="G330" s="409" t="s">
        <v>62</v>
      </c>
      <c r="H330" s="409" t="s">
        <v>944</v>
      </c>
      <c r="I330" s="419">
        <v>1</v>
      </c>
      <c r="J330" s="334" t="s">
        <v>1090</v>
      </c>
      <c r="K330" s="334" t="s">
        <v>2900</v>
      </c>
      <c r="L330" s="344"/>
      <c r="M330" s="334"/>
      <c r="N330" s="334"/>
      <c r="O330" s="345"/>
      <c r="P330" s="334"/>
      <c r="Q330" s="340"/>
      <c r="R330" s="349"/>
      <c r="S330" s="334"/>
      <c r="T330" s="334"/>
      <c r="U330" s="334"/>
      <c r="V330" s="334"/>
      <c r="W330" s="334"/>
      <c r="X330" s="334"/>
      <c r="Y330" s="334"/>
      <c r="Z330" s="334"/>
      <c r="AA330" s="334"/>
    </row>
    <row r="331" spans="1:51" ht="51" hidden="1" customHeight="1">
      <c r="A331" s="334" t="s">
        <v>22</v>
      </c>
      <c r="B331" s="408" t="s">
        <v>54</v>
      </c>
      <c r="C331" s="409" t="s">
        <v>928</v>
      </c>
      <c r="D331" s="409" t="s">
        <v>945</v>
      </c>
      <c r="E331" s="409" t="s">
        <v>946</v>
      </c>
      <c r="F331" s="334" t="s">
        <v>2658</v>
      </c>
      <c r="G331" s="409" t="s">
        <v>62</v>
      </c>
      <c r="H331" s="409" t="s">
        <v>944</v>
      </c>
      <c r="I331" s="419">
        <v>1</v>
      </c>
      <c r="J331" s="334" t="s">
        <v>1090</v>
      </c>
      <c r="K331" s="334" t="s">
        <v>2901</v>
      </c>
      <c r="L331" s="344"/>
      <c r="M331" s="334"/>
      <c r="N331" s="334"/>
      <c r="O331" s="345"/>
      <c r="P331" s="334"/>
      <c r="Q331" s="340"/>
      <c r="R331" s="349"/>
      <c r="S331" s="334"/>
      <c r="T331" s="334"/>
      <c r="U331" s="334"/>
      <c r="V331" s="334"/>
      <c r="W331" s="334"/>
      <c r="X331" s="334"/>
      <c r="Y331" s="334"/>
      <c r="Z331" s="334"/>
      <c r="AA331" s="334"/>
    </row>
    <row r="332" spans="1:51" s="392" customFormat="1" ht="31.5" hidden="1">
      <c r="A332" s="336" t="s">
        <v>22</v>
      </c>
      <c r="B332" s="410" t="s">
        <v>54</v>
      </c>
      <c r="C332" s="418" t="s">
        <v>947</v>
      </c>
      <c r="D332" s="336" t="s">
        <v>582</v>
      </c>
      <c r="E332" s="418" t="s">
        <v>582</v>
      </c>
      <c r="F332" s="418" t="s">
        <v>582</v>
      </c>
      <c r="G332" s="336" t="s">
        <v>582</v>
      </c>
      <c r="H332" s="336" t="s">
        <v>582</v>
      </c>
      <c r="I332" s="336" t="s">
        <v>582</v>
      </c>
      <c r="J332" s="336" t="s">
        <v>582</v>
      </c>
      <c r="K332" s="336" t="s">
        <v>582</v>
      </c>
      <c r="L332" s="336" t="s">
        <v>582</v>
      </c>
      <c r="M332" s="336" t="s">
        <v>582</v>
      </c>
      <c r="N332" s="336" t="s">
        <v>582</v>
      </c>
      <c r="O332" s="336" t="s">
        <v>582</v>
      </c>
      <c r="P332" s="336" t="s">
        <v>582</v>
      </c>
      <c r="Q332" s="391"/>
      <c r="R332" s="341" t="s">
        <v>582</v>
      </c>
      <c r="S332" s="336" t="s">
        <v>582</v>
      </c>
      <c r="T332" s="336" t="s">
        <v>582</v>
      </c>
      <c r="U332" s="336"/>
      <c r="V332" s="336" t="s">
        <v>582</v>
      </c>
      <c r="W332" s="336" t="s">
        <v>582</v>
      </c>
      <c r="X332" s="336" t="s">
        <v>582</v>
      </c>
      <c r="Y332" s="336" t="s">
        <v>582</v>
      </c>
      <c r="Z332" s="336" t="s">
        <v>582</v>
      </c>
      <c r="AA332" s="336" t="s">
        <v>582</v>
      </c>
      <c r="AB332" s="327"/>
      <c r="AC332" s="327"/>
      <c r="AD332" s="327"/>
      <c r="AE332" s="327"/>
      <c r="AF332" s="327"/>
      <c r="AG332" s="327"/>
      <c r="AH332" s="327"/>
      <c r="AI332" s="327"/>
      <c r="AJ332" s="327"/>
      <c r="AK332" s="327"/>
      <c r="AL332" s="327"/>
      <c r="AM332" s="327"/>
      <c r="AN332" s="327"/>
      <c r="AO332" s="327"/>
      <c r="AP332" s="327"/>
      <c r="AQ332" s="327"/>
      <c r="AR332" s="327"/>
      <c r="AS332" s="327"/>
      <c r="AT332" s="327"/>
      <c r="AU332" s="327"/>
      <c r="AV332" s="327"/>
      <c r="AW332" s="327"/>
      <c r="AX332" s="327"/>
      <c r="AY332" s="327"/>
    </row>
    <row r="333" spans="1:51" ht="37.15" hidden="1" customHeight="1">
      <c r="A333" s="334" t="s">
        <v>22</v>
      </c>
      <c r="B333" s="408" t="s">
        <v>195</v>
      </c>
      <c r="C333" s="409" t="s">
        <v>948</v>
      </c>
      <c r="D333" s="409" t="s">
        <v>949</v>
      </c>
      <c r="E333" s="409" t="s">
        <v>950</v>
      </c>
      <c r="F333" s="334" t="s">
        <v>2658</v>
      </c>
      <c r="G333" s="409" t="s">
        <v>62</v>
      </c>
      <c r="H333" s="409" t="s">
        <v>951</v>
      </c>
      <c r="I333" s="419">
        <v>1</v>
      </c>
      <c r="J333" s="334" t="s">
        <v>8</v>
      </c>
      <c r="K333" s="334"/>
      <c r="L333" s="344"/>
      <c r="M333" s="334"/>
      <c r="N333" s="334"/>
      <c r="O333" s="345"/>
      <c r="P333" s="334" t="s">
        <v>2902</v>
      </c>
      <c r="Q333" s="340"/>
      <c r="R333" s="349"/>
      <c r="S333" s="334"/>
      <c r="T333" s="334"/>
      <c r="U333" s="334"/>
      <c r="V333" s="334"/>
      <c r="W333" s="334"/>
      <c r="X333" s="334"/>
      <c r="Y333" s="334"/>
      <c r="Z333" s="334"/>
      <c r="AA333" s="334"/>
    </row>
    <row r="334" spans="1:51" ht="34.15" hidden="1" customHeight="1">
      <c r="A334" s="334" t="s">
        <v>22</v>
      </c>
      <c r="B334" s="408" t="s">
        <v>195</v>
      </c>
      <c r="C334" s="409" t="s">
        <v>952</v>
      </c>
      <c r="D334" s="409" t="s">
        <v>953</v>
      </c>
      <c r="E334" s="409" t="s">
        <v>954</v>
      </c>
      <c r="F334" s="334" t="s">
        <v>2658</v>
      </c>
      <c r="G334" s="409" t="s">
        <v>62</v>
      </c>
      <c r="H334" s="409" t="s">
        <v>955</v>
      </c>
      <c r="I334" s="419">
        <v>1</v>
      </c>
      <c r="J334" s="334" t="s">
        <v>1090</v>
      </c>
      <c r="K334" s="334" t="s">
        <v>2903</v>
      </c>
      <c r="L334" s="344"/>
      <c r="M334" s="334"/>
      <c r="N334" s="334"/>
      <c r="O334" s="345"/>
      <c r="P334" s="334"/>
      <c r="Q334" s="340"/>
      <c r="R334" s="349"/>
      <c r="S334" s="334"/>
      <c r="T334" s="334"/>
      <c r="U334" s="334"/>
      <c r="V334" s="334"/>
      <c r="W334" s="334"/>
      <c r="X334" s="334"/>
      <c r="Y334" s="334"/>
      <c r="Z334" s="334"/>
      <c r="AA334" s="334"/>
    </row>
    <row r="335" spans="1:51" s="392" customFormat="1" ht="47.25" hidden="1">
      <c r="A335" s="336" t="s">
        <v>22</v>
      </c>
      <c r="B335" s="410" t="s">
        <v>195</v>
      </c>
      <c r="C335" s="418" t="s">
        <v>956</v>
      </c>
      <c r="D335" s="336" t="s">
        <v>582</v>
      </c>
      <c r="E335" s="418" t="s">
        <v>582</v>
      </c>
      <c r="F335" s="418" t="s">
        <v>582</v>
      </c>
      <c r="G335" s="336" t="s">
        <v>582</v>
      </c>
      <c r="H335" s="336" t="s">
        <v>582</v>
      </c>
      <c r="I335" s="336" t="s">
        <v>582</v>
      </c>
      <c r="J335" s="336" t="s">
        <v>582</v>
      </c>
      <c r="K335" s="336" t="s">
        <v>582</v>
      </c>
      <c r="L335" s="336" t="s">
        <v>582</v>
      </c>
      <c r="M335" s="336" t="s">
        <v>582</v>
      </c>
      <c r="N335" s="336" t="s">
        <v>582</v>
      </c>
      <c r="O335" s="336" t="s">
        <v>582</v>
      </c>
      <c r="P335" s="336" t="s">
        <v>582</v>
      </c>
      <c r="Q335" s="391"/>
      <c r="R335" s="341" t="s">
        <v>582</v>
      </c>
      <c r="S335" s="336" t="s">
        <v>582</v>
      </c>
      <c r="T335" s="336" t="s">
        <v>582</v>
      </c>
      <c r="U335" s="336"/>
      <c r="V335" s="336" t="s">
        <v>582</v>
      </c>
      <c r="W335" s="336" t="s">
        <v>582</v>
      </c>
      <c r="X335" s="336" t="s">
        <v>582</v>
      </c>
      <c r="Y335" s="336" t="s">
        <v>582</v>
      </c>
      <c r="Z335" s="336" t="s">
        <v>582</v>
      </c>
      <c r="AA335" s="336" t="s">
        <v>582</v>
      </c>
      <c r="AB335" s="327"/>
      <c r="AC335" s="327"/>
      <c r="AD335" s="327"/>
      <c r="AE335" s="327"/>
      <c r="AF335" s="327"/>
      <c r="AG335" s="327"/>
      <c r="AH335" s="327"/>
      <c r="AI335" s="327"/>
      <c r="AJ335" s="327"/>
      <c r="AK335" s="327"/>
      <c r="AL335" s="327"/>
      <c r="AM335" s="327"/>
      <c r="AN335" s="327"/>
      <c r="AO335" s="327"/>
      <c r="AP335" s="327"/>
      <c r="AQ335" s="327"/>
      <c r="AR335" s="327"/>
      <c r="AS335" s="327"/>
      <c r="AT335" s="327"/>
      <c r="AU335" s="327"/>
      <c r="AV335" s="327"/>
      <c r="AW335" s="327"/>
      <c r="AX335" s="327"/>
      <c r="AY335" s="327"/>
    </row>
    <row r="336" spans="1:51" ht="47.25" hidden="1">
      <c r="A336" s="334" t="s">
        <v>22</v>
      </c>
      <c r="B336" s="408" t="s">
        <v>195</v>
      </c>
      <c r="C336" s="409" t="s">
        <v>957</v>
      </c>
      <c r="D336" s="409" t="s">
        <v>958</v>
      </c>
      <c r="E336" s="409" t="s">
        <v>959</v>
      </c>
      <c r="F336" s="334" t="s">
        <v>2658</v>
      </c>
      <c r="G336" s="409" t="s">
        <v>62</v>
      </c>
      <c r="H336" s="409" t="s">
        <v>960</v>
      </c>
      <c r="I336" s="409" t="s">
        <v>671</v>
      </c>
      <c r="J336" s="334" t="s">
        <v>8</v>
      </c>
      <c r="K336" s="334"/>
      <c r="L336" s="344"/>
      <c r="M336" s="334"/>
      <c r="N336" s="334"/>
      <c r="O336" s="345"/>
      <c r="P336" s="334" t="s">
        <v>2902</v>
      </c>
      <c r="Q336" s="340"/>
      <c r="R336" s="349"/>
      <c r="S336" s="334"/>
      <c r="T336" s="334"/>
      <c r="U336" s="334"/>
      <c r="V336" s="334"/>
      <c r="W336" s="334"/>
      <c r="X336" s="334"/>
      <c r="Y336" s="334"/>
      <c r="Z336" s="334"/>
      <c r="AA336" s="334"/>
    </row>
    <row r="337" spans="1:51" ht="49.9" hidden="1" customHeight="1">
      <c r="A337" s="334" t="s">
        <v>22</v>
      </c>
      <c r="B337" s="408" t="s">
        <v>195</v>
      </c>
      <c r="C337" s="409" t="s">
        <v>957</v>
      </c>
      <c r="D337" s="409" t="s">
        <v>961</v>
      </c>
      <c r="E337" s="409" t="s">
        <v>962</v>
      </c>
      <c r="F337" s="334" t="s">
        <v>2658</v>
      </c>
      <c r="G337" s="409" t="s">
        <v>62</v>
      </c>
      <c r="H337" s="409" t="s">
        <v>259</v>
      </c>
      <c r="I337" s="409" t="s">
        <v>255</v>
      </c>
      <c r="J337" s="334" t="s">
        <v>1090</v>
      </c>
      <c r="K337" s="334" t="s">
        <v>2904</v>
      </c>
      <c r="L337" s="344"/>
      <c r="M337" s="334"/>
      <c r="N337" s="334"/>
      <c r="O337" s="345"/>
      <c r="P337" s="334"/>
      <c r="Q337" s="340"/>
      <c r="R337" s="349"/>
      <c r="S337" s="334"/>
      <c r="T337" s="334"/>
      <c r="U337" s="334"/>
      <c r="V337" s="334"/>
      <c r="W337" s="334"/>
      <c r="X337" s="334"/>
      <c r="Y337" s="334"/>
      <c r="Z337" s="334"/>
      <c r="AA337" s="334"/>
    </row>
    <row r="338" spans="1:51" ht="48.6" hidden="1" customHeight="1">
      <c r="A338" s="334" t="s">
        <v>22</v>
      </c>
      <c r="B338" s="408" t="s">
        <v>195</v>
      </c>
      <c r="C338" s="409" t="s">
        <v>957</v>
      </c>
      <c r="D338" s="409" t="s">
        <v>963</v>
      </c>
      <c r="E338" s="409" t="s">
        <v>964</v>
      </c>
      <c r="F338" s="334" t="s">
        <v>2658</v>
      </c>
      <c r="G338" s="409" t="s">
        <v>62</v>
      </c>
      <c r="H338" s="409" t="s">
        <v>266</v>
      </c>
      <c r="I338" s="409" t="s">
        <v>210</v>
      </c>
      <c r="J338" s="334" t="s">
        <v>8</v>
      </c>
      <c r="K338" s="334"/>
      <c r="L338" s="344" t="s">
        <v>2387</v>
      </c>
      <c r="M338" s="334"/>
      <c r="N338" s="334"/>
      <c r="O338" s="345"/>
      <c r="P338" s="334" t="s">
        <v>2902</v>
      </c>
      <c r="Q338" s="340"/>
      <c r="R338" s="349"/>
      <c r="S338" s="334"/>
      <c r="T338" s="334"/>
      <c r="U338" s="334"/>
      <c r="V338" s="334"/>
      <c r="W338" s="334"/>
      <c r="X338" s="334"/>
      <c r="Y338" s="334"/>
      <c r="Z338" s="334"/>
      <c r="AA338" s="334"/>
    </row>
    <row r="339" spans="1:51" ht="78.75" hidden="1">
      <c r="A339" s="334" t="s">
        <v>22</v>
      </c>
      <c r="B339" s="408" t="s">
        <v>195</v>
      </c>
      <c r="C339" s="409" t="s">
        <v>957</v>
      </c>
      <c r="D339" s="409" t="s">
        <v>965</v>
      </c>
      <c r="E339" s="409" t="s">
        <v>966</v>
      </c>
      <c r="F339" s="334" t="s">
        <v>2809</v>
      </c>
      <c r="G339" s="409" t="s">
        <v>62</v>
      </c>
      <c r="H339" s="409" t="s">
        <v>967</v>
      </c>
      <c r="I339" s="409" t="s">
        <v>968</v>
      </c>
      <c r="J339" s="334" t="s">
        <v>1191</v>
      </c>
      <c r="K339" s="334" t="s">
        <v>2905</v>
      </c>
      <c r="L339" s="344"/>
      <c r="M339" s="334"/>
      <c r="N339" s="334"/>
      <c r="O339" s="345"/>
      <c r="P339" s="334" t="s">
        <v>2906</v>
      </c>
      <c r="Q339" s="340"/>
      <c r="R339" s="349"/>
      <c r="S339" s="334"/>
      <c r="T339" s="334"/>
      <c r="U339" s="334"/>
      <c r="V339" s="334"/>
      <c r="W339" s="334"/>
      <c r="X339" s="334"/>
      <c r="Y339" s="334"/>
      <c r="Z339" s="334"/>
      <c r="AA339" s="334"/>
    </row>
    <row r="340" spans="1:51" ht="45.6" hidden="1" customHeight="1">
      <c r="A340" s="334" t="s">
        <v>22</v>
      </c>
      <c r="B340" s="408" t="s">
        <v>195</v>
      </c>
      <c r="C340" s="409" t="s">
        <v>957</v>
      </c>
      <c r="D340" s="409" t="s">
        <v>969</v>
      </c>
      <c r="E340" s="409" t="s">
        <v>970</v>
      </c>
      <c r="F340" s="334" t="s">
        <v>2658</v>
      </c>
      <c r="G340" s="409" t="s">
        <v>62</v>
      </c>
      <c r="H340" s="409" t="s">
        <v>273</v>
      </c>
      <c r="I340" s="409" t="s">
        <v>135</v>
      </c>
      <c r="J340" s="334" t="s">
        <v>8</v>
      </c>
      <c r="K340" s="334" t="s">
        <v>2907</v>
      </c>
      <c r="L340" s="344"/>
      <c r="M340" s="334"/>
      <c r="N340" s="334"/>
      <c r="O340" s="345"/>
      <c r="P340" s="334" t="s">
        <v>2902</v>
      </c>
      <c r="Q340" s="340"/>
      <c r="R340" s="349"/>
      <c r="S340" s="334"/>
      <c r="T340" s="334"/>
      <c r="U340" s="334"/>
      <c r="V340" s="334"/>
      <c r="W340" s="334"/>
      <c r="X340" s="334"/>
      <c r="Y340" s="334"/>
      <c r="Z340" s="334"/>
      <c r="AA340" s="334"/>
    </row>
    <row r="341" spans="1:51" ht="69" hidden="1" customHeight="1">
      <c r="A341" s="334" t="s">
        <v>22</v>
      </c>
      <c r="B341" s="408" t="s">
        <v>274</v>
      </c>
      <c r="C341" s="409" t="s">
        <v>971</v>
      </c>
      <c r="D341" s="409" t="s">
        <v>972</v>
      </c>
      <c r="E341" s="409" t="s">
        <v>973</v>
      </c>
      <c r="F341" s="334" t="s">
        <v>2666</v>
      </c>
      <c r="G341" s="409" t="s">
        <v>62</v>
      </c>
      <c r="H341" s="409" t="s">
        <v>974</v>
      </c>
      <c r="I341" s="419">
        <v>1</v>
      </c>
      <c r="J341" s="334" t="s">
        <v>1191</v>
      </c>
      <c r="K341" s="334" t="s">
        <v>2875</v>
      </c>
      <c r="L341" s="344" t="s">
        <v>2265</v>
      </c>
      <c r="M341" s="334"/>
      <c r="N341" s="334"/>
      <c r="O341" s="345" t="s">
        <v>2908</v>
      </c>
      <c r="P341" s="334" t="s">
        <v>2909</v>
      </c>
      <c r="Q341" s="340"/>
      <c r="R341" s="349"/>
      <c r="S341" s="334"/>
      <c r="T341" s="334"/>
      <c r="U341" s="334"/>
      <c r="V341" s="334"/>
      <c r="W341" s="334"/>
      <c r="X341" s="334"/>
      <c r="Y341" s="334"/>
      <c r="Z341" s="334"/>
      <c r="AA341" s="334"/>
    </row>
    <row r="342" spans="1:51" s="392" customFormat="1" ht="78.75" hidden="1">
      <c r="A342" s="336" t="s">
        <v>22</v>
      </c>
      <c r="B342" s="410" t="s">
        <v>274</v>
      </c>
      <c r="C342" s="418" t="s">
        <v>975</v>
      </c>
      <c r="D342" s="418" t="s">
        <v>582</v>
      </c>
      <c r="E342" s="418" t="s">
        <v>582</v>
      </c>
      <c r="F342" s="418" t="s">
        <v>582</v>
      </c>
      <c r="G342" s="418" t="s">
        <v>582</v>
      </c>
      <c r="H342" s="418" t="s">
        <v>582</v>
      </c>
      <c r="I342" s="418" t="s">
        <v>582</v>
      </c>
      <c r="J342" s="336"/>
      <c r="K342" s="336"/>
      <c r="L342" s="336"/>
      <c r="M342" s="336"/>
      <c r="N342" s="336"/>
      <c r="O342" s="336"/>
      <c r="P342" s="336"/>
      <c r="Q342" s="391"/>
      <c r="R342" s="341"/>
      <c r="S342" s="336"/>
      <c r="T342" s="336"/>
      <c r="U342" s="336"/>
      <c r="V342" s="336"/>
      <c r="W342" s="336"/>
      <c r="X342" s="336"/>
      <c r="Y342" s="336"/>
      <c r="Z342" s="336"/>
      <c r="AA342" s="336"/>
      <c r="AB342" s="327"/>
      <c r="AC342" s="327"/>
      <c r="AD342" s="327"/>
      <c r="AE342" s="327"/>
      <c r="AF342" s="327"/>
      <c r="AG342" s="327"/>
      <c r="AH342" s="327"/>
      <c r="AI342" s="327"/>
      <c r="AJ342" s="327"/>
      <c r="AK342" s="327"/>
      <c r="AL342" s="327"/>
      <c r="AM342" s="327"/>
      <c r="AN342" s="327"/>
      <c r="AO342" s="327"/>
      <c r="AP342" s="327"/>
      <c r="AQ342" s="327"/>
      <c r="AR342" s="327"/>
      <c r="AS342" s="327"/>
      <c r="AT342" s="327"/>
      <c r="AU342" s="327"/>
      <c r="AV342" s="327"/>
      <c r="AW342" s="327"/>
      <c r="AX342" s="327"/>
      <c r="AY342" s="327"/>
    </row>
    <row r="343" spans="1:51" s="392" customFormat="1" ht="47.25" hidden="1">
      <c r="A343" s="336" t="s">
        <v>22</v>
      </c>
      <c r="B343" s="410" t="s">
        <v>274</v>
      </c>
      <c r="C343" s="418" t="s">
        <v>976</v>
      </c>
      <c r="D343" s="418" t="s">
        <v>582</v>
      </c>
      <c r="E343" s="418" t="s">
        <v>582</v>
      </c>
      <c r="F343" s="418" t="s">
        <v>582</v>
      </c>
      <c r="G343" s="418" t="s">
        <v>582</v>
      </c>
      <c r="H343" s="418" t="s">
        <v>582</v>
      </c>
      <c r="I343" s="418" t="s">
        <v>582</v>
      </c>
      <c r="J343" s="336"/>
      <c r="K343" s="336"/>
      <c r="L343" s="336"/>
      <c r="M343" s="336"/>
      <c r="N343" s="336"/>
      <c r="O343" s="336"/>
      <c r="P343" s="336"/>
      <c r="Q343" s="391"/>
      <c r="R343" s="341"/>
      <c r="S343" s="336"/>
      <c r="T343" s="336"/>
      <c r="U343" s="336"/>
      <c r="V343" s="336"/>
      <c r="W343" s="336"/>
      <c r="X343" s="336"/>
      <c r="Y343" s="336"/>
      <c r="Z343" s="336"/>
      <c r="AA343" s="336"/>
      <c r="AB343" s="327"/>
      <c r="AC343" s="327"/>
      <c r="AD343" s="327"/>
      <c r="AE343" s="327"/>
      <c r="AF343" s="327"/>
      <c r="AG343" s="327"/>
      <c r="AH343" s="327"/>
      <c r="AI343" s="327"/>
      <c r="AJ343" s="327"/>
      <c r="AK343" s="327"/>
      <c r="AL343" s="327"/>
      <c r="AM343" s="327"/>
      <c r="AN343" s="327"/>
      <c r="AO343" s="327"/>
      <c r="AP343" s="327"/>
      <c r="AQ343" s="327"/>
      <c r="AR343" s="327"/>
      <c r="AS343" s="327"/>
      <c r="AT343" s="327"/>
      <c r="AU343" s="327"/>
      <c r="AV343" s="327"/>
      <c r="AW343" s="327"/>
      <c r="AX343" s="327"/>
      <c r="AY343" s="327"/>
    </row>
    <row r="344" spans="1:51" ht="283.5" hidden="1">
      <c r="A344" s="334" t="s">
        <v>22</v>
      </c>
      <c r="B344" s="408" t="s">
        <v>274</v>
      </c>
      <c r="C344" s="409" t="s">
        <v>977</v>
      </c>
      <c r="D344" s="409" t="s">
        <v>978</v>
      </c>
      <c r="E344" s="409" t="s">
        <v>979</v>
      </c>
      <c r="F344" s="334" t="s">
        <v>2910</v>
      </c>
      <c r="G344" s="409" t="s">
        <v>62</v>
      </c>
      <c r="H344" s="409" t="s">
        <v>980</v>
      </c>
      <c r="I344" s="419">
        <v>0.8</v>
      </c>
      <c r="J344" s="334" t="s">
        <v>1090</v>
      </c>
      <c r="K344" s="334" t="s">
        <v>2911</v>
      </c>
      <c r="L344" s="344"/>
      <c r="M344" s="334"/>
      <c r="N344" s="334"/>
      <c r="O344" s="345"/>
      <c r="P344" s="334" t="s">
        <v>2912</v>
      </c>
      <c r="Q344" s="340"/>
      <c r="R344" s="349"/>
      <c r="S344" s="334"/>
      <c r="T344" s="334"/>
      <c r="U344" s="334"/>
      <c r="V344" s="334"/>
      <c r="W344" s="334"/>
      <c r="X344" s="334"/>
      <c r="Y344" s="334"/>
      <c r="Z344" s="334"/>
      <c r="AA344" s="334"/>
    </row>
    <row r="345" spans="1:51" ht="173.25" hidden="1">
      <c r="A345" s="334" t="s">
        <v>22</v>
      </c>
      <c r="B345" s="408" t="s">
        <v>274</v>
      </c>
      <c r="C345" s="409" t="s">
        <v>977</v>
      </c>
      <c r="D345" s="409" t="s">
        <v>981</v>
      </c>
      <c r="E345" s="409" t="s">
        <v>982</v>
      </c>
      <c r="F345" s="334" t="s">
        <v>2825</v>
      </c>
      <c r="G345" s="409" t="s">
        <v>62</v>
      </c>
      <c r="H345" s="409" t="s">
        <v>983</v>
      </c>
      <c r="I345" s="409" t="s">
        <v>110</v>
      </c>
      <c r="J345" s="334" t="s">
        <v>1191</v>
      </c>
      <c r="K345" s="334" t="s">
        <v>2913</v>
      </c>
      <c r="L345" s="344"/>
      <c r="M345" s="334"/>
      <c r="N345" s="334"/>
      <c r="O345" s="345"/>
      <c r="P345" s="334"/>
      <c r="Q345" s="340"/>
      <c r="R345" s="349"/>
      <c r="S345" s="334"/>
      <c r="T345" s="334"/>
      <c r="U345" s="334"/>
      <c r="V345" s="334"/>
      <c r="W345" s="334"/>
      <c r="X345" s="334"/>
      <c r="Y345" s="334"/>
      <c r="Z345" s="334"/>
      <c r="AA345" s="334"/>
    </row>
    <row r="346" spans="1:51" ht="78.75" hidden="1">
      <c r="A346" s="334" t="s">
        <v>22</v>
      </c>
      <c r="B346" s="408" t="s">
        <v>587</v>
      </c>
      <c r="C346" s="409" t="s">
        <v>984</v>
      </c>
      <c r="D346" s="409" t="s">
        <v>985</v>
      </c>
      <c r="E346" s="409" t="s">
        <v>986</v>
      </c>
      <c r="F346" s="336"/>
      <c r="G346" s="418" t="s">
        <v>62</v>
      </c>
      <c r="H346" s="418" t="s">
        <v>591</v>
      </c>
      <c r="I346" s="420">
        <v>1</v>
      </c>
      <c r="J346" s="336"/>
      <c r="K346" s="336"/>
      <c r="L346" s="338"/>
      <c r="M346" s="336"/>
      <c r="N346" s="336"/>
      <c r="O346" s="339"/>
      <c r="P346" s="336"/>
      <c r="Q346" s="340"/>
      <c r="R346" s="341"/>
      <c r="S346" s="336"/>
      <c r="T346" s="336"/>
      <c r="U346" s="336"/>
      <c r="V346" s="336"/>
      <c r="W346" s="336"/>
      <c r="X346" s="336"/>
      <c r="Y346" s="336"/>
      <c r="Z346" s="336"/>
      <c r="AA346" s="336"/>
    </row>
    <row r="347" spans="1:51" ht="63" hidden="1">
      <c r="A347" s="334" t="s">
        <v>22</v>
      </c>
      <c r="B347" s="408" t="s">
        <v>587</v>
      </c>
      <c r="C347" s="409" t="s">
        <v>984</v>
      </c>
      <c r="D347" s="409" t="s">
        <v>987</v>
      </c>
      <c r="E347" s="348" t="s">
        <v>988</v>
      </c>
      <c r="F347" s="334" t="s">
        <v>2666</v>
      </c>
      <c r="G347" s="409" t="s">
        <v>62</v>
      </c>
      <c r="H347" s="409" t="s">
        <v>591</v>
      </c>
      <c r="I347" s="419">
        <v>1</v>
      </c>
      <c r="J347" s="334" t="s">
        <v>8</v>
      </c>
      <c r="K347" s="334"/>
      <c r="L347" s="344"/>
      <c r="M347" s="334"/>
      <c r="N347" s="334"/>
      <c r="O347" s="345"/>
      <c r="P347" s="334" t="s">
        <v>2902</v>
      </c>
      <c r="Q347" s="340"/>
      <c r="R347" s="349"/>
      <c r="S347" s="334"/>
      <c r="T347" s="334"/>
      <c r="U347" s="334"/>
      <c r="V347" s="334"/>
      <c r="W347" s="334"/>
      <c r="X347" s="334"/>
      <c r="Y347" s="334"/>
      <c r="Z347" s="334"/>
      <c r="AA347" s="334"/>
    </row>
    <row r="348" spans="1:51" ht="63" hidden="1">
      <c r="A348" s="334" t="s">
        <v>22</v>
      </c>
      <c r="B348" s="408" t="s">
        <v>587</v>
      </c>
      <c r="C348" s="409" t="s">
        <v>984</v>
      </c>
      <c r="D348" s="409" t="s">
        <v>989</v>
      </c>
      <c r="E348" s="348" t="s">
        <v>990</v>
      </c>
      <c r="F348" s="334" t="s">
        <v>2666</v>
      </c>
      <c r="G348" s="409" t="s">
        <v>62</v>
      </c>
      <c r="H348" s="409" t="s">
        <v>591</v>
      </c>
      <c r="I348" s="419">
        <v>1</v>
      </c>
      <c r="J348" s="334" t="s">
        <v>8</v>
      </c>
      <c r="K348" s="334"/>
      <c r="L348" s="344"/>
      <c r="M348" s="334"/>
      <c r="N348" s="334"/>
      <c r="O348" s="345"/>
      <c r="P348" s="334" t="s">
        <v>2902</v>
      </c>
      <c r="Q348" s="340"/>
      <c r="R348" s="349"/>
      <c r="S348" s="334"/>
      <c r="T348" s="334"/>
      <c r="U348" s="334"/>
      <c r="V348" s="334"/>
      <c r="W348" s="334"/>
      <c r="X348" s="334"/>
      <c r="Y348" s="334"/>
      <c r="Z348" s="334"/>
      <c r="AA348" s="334"/>
    </row>
    <row r="349" spans="1:51" ht="63" hidden="1">
      <c r="A349" s="334" t="s">
        <v>22</v>
      </c>
      <c r="B349" s="408" t="s">
        <v>587</v>
      </c>
      <c r="C349" s="409" t="s">
        <v>984</v>
      </c>
      <c r="D349" s="409" t="s">
        <v>991</v>
      </c>
      <c r="E349" s="348" t="s">
        <v>992</v>
      </c>
      <c r="F349" s="334" t="s">
        <v>2666</v>
      </c>
      <c r="G349" s="409" t="s">
        <v>62</v>
      </c>
      <c r="H349" s="409" t="s">
        <v>591</v>
      </c>
      <c r="I349" s="419">
        <v>1</v>
      </c>
      <c r="J349" s="334" t="s">
        <v>8</v>
      </c>
      <c r="K349" s="334"/>
      <c r="L349" s="344"/>
      <c r="M349" s="334"/>
      <c r="N349" s="334"/>
      <c r="O349" s="345"/>
      <c r="P349" s="334" t="s">
        <v>2902</v>
      </c>
      <c r="Q349" s="340"/>
      <c r="R349" s="349"/>
      <c r="S349" s="334"/>
      <c r="T349" s="334"/>
      <c r="U349" s="334"/>
      <c r="V349" s="334"/>
      <c r="W349" s="334"/>
      <c r="X349" s="334"/>
      <c r="Y349" s="334"/>
      <c r="Z349" s="334"/>
      <c r="AA349" s="334"/>
    </row>
    <row r="350" spans="1:51" ht="63" hidden="1">
      <c r="A350" s="334" t="s">
        <v>22</v>
      </c>
      <c r="B350" s="408" t="s">
        <v>587</v>
      </c>
      <c r="C350" s="409" t="s">
        <v>984</v>
      </c>
      <c r="D350" s="409" t="s">
        <v>993</v>
      </c>
      <c r="E350" s="348" t="s">
        <v>994</v>
      </c>
      <c r="F350" s="334"/>
      <c r="G350" s="409" t="s">
        <v>62</v>
      </c>
      <c r="H350" s="409" t="s">
        <v>591</v>
      </c>
      <c r="I350" s="419">
        <v>1</v>
      </c>
      <c r="J350" s="334" t="s">
        <v>8</v>
      </c>
      <c r="K350" s="334"/>
      <c r="L350" s="344"/>
      <c r="M350" s="334"/>
      <c r="N350" s="334"/>
      <c r="O350" s="345"/>
      <c r="P350" s="334" t="s">
        <v>2902</v>
      </c>
      <c r="Q350" s="340"/>
      <c r="R350" s="349"/>
      <c r="S350" s="334"/>
      <c r="T350" s="334"/>
      <c r="U350" s="334"/>
      <c r="V350" s="334"/>
      <c r="W350" s="334"/>
      <c r="X350" s="334"/>
      <c r="Y350" s="334"/>
      <c r="Z350" s="334"/>
      <c r="AA350" s="334"/>
    </row>
    <row r="351" spans="1:51" ht="63" hidden="1">
      <c r="A351" s="334" t="s">
        <v>22</v>
      </c>
      <c r="B351" s="408" t="s">
        <v>587</v>
      </c>
      <c r="C351" s="409" t="s">
        <v>984</v>
      </c>
      <c r="D351" s="409" t="s">
        <v>995</v>
      </c>
      <c r="E351" s="348" t="s">
        <v>996</v>
      </c>
      <c r="F351" s="334" t="s">
        <v>2666</v>
      </c>
      <c r="G351" s="409" t="s">
        <v>62</v>
      </c>
      <c r="H351" s="409" t="s">
        <v>591</v>
      </c>
      <c r="I351" s="419">
        <v>1</v>
      </c>
      <c r="J351" s="334" t="s">
        <v>8</v>
      </c>
      <c r="K351" s="334"/>
      <c r="L351" s="344"/>
      <c r="M351" s="334"/>
      <c r="N351" s="334"/>
      <c r="O351" s="345"/>
      <c r="P351" s="334" t="s">
        <v>2902</v>
      </c>
      <c r="Q351" s="340"/>
      <c r="R351" s="349"/>
      <c r="S351" s="334"/>
      <c r="T351" s="334"/>
      <c r="U351" s="334"/>
      <c r="V351" s="334"/>
      <c r="W351" s="334"/>
      <c r="X351" s="334"/>
      <c r="Y351" s="334"/>
      <c r="Z351" s="334"/>
      <c r="AA351" s="334"/>
    </row>
    <row r="352" spans="1:51" ht="173.25" hidden="1">
      <c r="A352" s="334" t="s">
        <v>22</v>
      </c>
      <c r="B352" s="408" t="s">
        <v>587</v>
      </c>
      <c r="C352" s="409" t="s">
        <v>984</v>
      </c>
      <c r="D352" s="409" t="s">
        <v>997</v>
      </c>
      <c r="E352" s="348" t="s">
        <v>998</v>
      </c>
      <c r="F352" s="334" t="s">
        <v>2910</v>
      </c>
      <c r="G352" s="409" t="s">
        <v>62</v>
      </c>
      <c r="H352" s="409" t="s">
        <v>591</v>
      </c>
      <c r="I352" s="419">
        <v>1</v>
      </c>
      <c r="J352" s="334" t="s">
        <v>1090</v>
      </c>
      <c r="K352" s="334" t="s">
        <v>2914</v>
      </c>
      <c r="L352" s="344"/>
      <c r="M352" s="334"/>
      <c r="N352" s="334"/>
      <c r="O352" s="345"/>
      <c r="P352" s="334" t="s">
        <v>2915</v>
      </c>
      <c r="Q352" s="340"/>
      <c r="R352" s="349"/>
      <c r="S352" s="334"/>
      <c r="T352" s="334"/>
      <c r="U352" s="334"/>
      <c r="V352" s="334"/>
      <c r="W352" s="334"/>
      <c r="X352" s="334"/>
      <c r="Y352" s="334"/>
      <c r="Z352" s="334"/>
      <c r="AA352" s="334"/>
    </row>
    <row r="353" spans="1:27" ht="63" hidden="1">
      <c r="A353" s="334" t="s">
        <v>22</v>
      </c>
      <c r="B353" s="408" t="s">
        <v>587</v>
      </c>
      <c r="C353" s="409" t="s">
        <v>984</v>
      </c>
      <c r="D353" s="409" t="s">
        <v>999</v>
      </c>
      <c r="E353" s="348" t="s">
        <v>1000</v>
      </c>
      <c r="F353" s="334" t="s">
        <v>2666</v>
      </c>
      <c r="G353" s="409" t="s">
        <v>62</v>
      </c>
      <c r="H353" s="409" t="s">
        <v>591</v>
      </c>
      <c r="I353" s="419">
        <v>1</v>
      </c>
      <c r="J353" s="334" t="s">
        <v>8</v>
      </c>
      <c r="K353" s="334"/>
      <c r="L353" s="344"/>
      <c r="M353" s="334"/>
      <c r="N353" s="334"/>
      <c r="O353" s="345"/>
      <c r="P353" s="334" t="s">
        <v>2902</v>
      </c>
      <c r="Q353" s="340"/>
      <c r="R353" s="349"/>
      <c r="S353" s="334"/>
      <c r="T353" s="334"/>
      <c r="U353" s="334"/>
      <c r="V353" s="334"/>
      <c r="W353" s="334"/>
      <c r="X353" s="334"/>
      <c r="Y353" s="334"/>
      <c r="Z353" s="334"/>
      <c r="AA353" s="334"/>
    </row>
    <row r="354" spans="1:27" ht="63" hidden="1">
      <c r="A354" s="334" t="s">
        <v>22</v>
      </c>
      <c r="B354" s="408" t="s">
        <v>587</v>
      </c>
      <c r="C354" s="409" t="s">
        <v>984</v>
      </c>
      <c r="D354" s="409" t="s">
        <v>1001</v>
      </c>
      <c r="E354" s="348" t="s">
        <v>1002</v>
      </c>
      <c r="F354" s="334" t="s">
        <v>2666</v>
      </c>
      <c r="G354" s="409" t="s">
        <v>62</v>
      </c>
      <c r="H354" s="409" t="s">
        <v>591</v>
      </c>
      <c r="I354" s="419">
        <v>1</v>
      </c>
      <c r="J354" s="334" t="s">
        <v>8</v>
      </c>
      <c r="K354" s="334"/>
      <c r="L354" s="344"/>
      <c r="M354" s="334"/>
      <c r="N354" s="334"/>
      <c r="O354" s="345"/>
      <c r="P354" s="334" t="s">
        <v>2902</v>
      </c>
      <c r="Q354" s="340"/>
      <c r="R354" s="349"/>
      <c r="S354" s="334"/>
      <c r="T354" s="334"/>
      <c r="U354" s="334"/>
      <c r="V354" s="334"/>
      <c r="W354" s="334"/>
      <c r="X354" s="334"/>
      <c r="Y354" s="334"/>
      <c r="Z354" s="334"/>
      <c r="AA354" s="334"/>
    </row>
    <row r="355" spans="1:27" ht="63" hidden="1">
      <c r="A355" s="334" t="s">
        <v>22</v>
      </c>
      <c r="B355" s="408" t="s">
        <v>587</v>
      </c>
      <c r="C355" s="409" t="s">
        <v>984</v>
      </c>
      <c r="D355" s="409" t="s">
        <v>1003</v>
      </c>
      <c r="E355" s="348" t="s">
        <v>1004</v>
      </c>
      <c r="F355" s="334" t="s">
        <v>2666</v>
      </c>
      <c r="G355" s="409" t="s">
        <v>62</v>
      </c>
      <c r="H355" s="409" t="s">
        <v>591</v>
      </c>
      <c r="I355" s="419">
        <v>1</v>
      </c>
      <c r="J355" s="334" t="s">
        <v>8</v>
      </c>
      <c r="K355" s="334"/>
      <c r="L355" s="344"/>
      <c r="M355" s="334"/>
      <c r="N355" s="334"/>
      <c r="O355" s="345"/>
      <c r="P355" s="334" t="s">
        <v>2902</v>
      </c>
      <c r="Q355" s="340"/>
      <c r="R355" s="349"/>
      <c r="S355" s="334"/>
      <c r="T355" s="334"/>
      <c r="U355" s="334"/>
      <c r="V355" s="334"/>
      <c r="W355" s="334"/>
      <c r="X355" s="334"/>
      <c r="Y355" s="334"/>
      <c r="Z355" s="334"/>
      <c r="AA355" s="334"/>
    </row>
    <row r="356" spans="1:27" ht="63" hidden="1">
      <c r="A356" s="334" t="s">
        <v>22</v>
      </c>
      <c r="B356" s="408" t="s">
        <v>587</v>
      </c>
      <c r="C356" s="409" t="s">
        <v>984</v>
      </c>
      <c r="D356" s="409" t="s">
        <v>1005</v>
      </c>
      <c r="E356" s="348" t="s">
        <v>1006</v>
      </c>
      <c r="F356" s="334" t="s">
        <v>2666</v>
      </c>
      <c r="G356" s="409" t="s">
        <v>62</v>
      </c>
      <c r="H356" s="409" t="s">
        <v>591</v>
      </c>
      <c r="I356" s="419">
        <v>1</v>
      </c>
      <c r="J356" s="334" t="s">
        <v>8</v>
      </c>
      <c r="K356" s="334"/>
      <c r="L356" s="344"/>
      <c r="M356" s="334"/>
      <c r="N356" s="334"/>
      <c r="O356" s="345"/>
      <c r="P356" s="334" t="s">
        <v>2902</v>
      </c>
      <c r="Q356" s="340"/>
      <c r="R356" s="349"/>
      <c r="S356" s="334"/>
      <c r="T356" s="334"/>
      <c r="U356" s="334"/>
      <c r="V356" s="334"/>
      <c r="W356" s="334"/>
      <c r="X356" s="334"/>
      <c r="Y356" s="334"/>
      <c r="Z356" s="334"/>
      <c r="AA356" s="334"/>
    </row>
    <row r="357" spans="1:27" ht="63" hidden="1">
      <c r="A357" s="334" t="s">
        <v>22</v>
      </c>
      <c r="B357" s="408" t="s">
        <v>587</v>
      </c>
      <c r="C357" s="409" t="s">
        <v>984</v>
      </c>
      <c r="D357" s="409" t="s">
        <v>1007</v>
      </c>
      <c r="E357" s="348" t="s">
        <v>1008</v>
      </c>
      <c r="F357" s="334" t="s">
        <v>2666</v>
      </c>
      <c r="G357" s="409" t="s">
        <v>62</v>
      </c>
      <c r="H357" s="409" t="s">
        <v>591</v>
      </c>
      <c r="I357" s="419">
        <v>1</v>
      </c>
      <c r="J357" s="334" t="s">
        <v>8</v>
      </c>
      <c r="K357" s="334"/>
      <c r="L357" s="344"/>
      <c r="M357" s="334"/>
      <c r="N357" s="334"/>
      <c r="O357" s="345"/>
      <c r="P357" s="334" t="s">
        <v>2902</v>
      </c>
      <c r="Q357" s="340"/>
      <c r="R357" s="349"/>
      <c r="S357" s="334"/>
      <c r="T357" s="334"/>
      <c r="U357" s="334"/>
      <c r="V357" s="334"/>
      <c r="W357" s="334"/>
      <c r="X357" s="334"/>
      <c r="Y357" s="334"/>
      <c r="Z357" s="334"/>
      <c r="AA357" s="334"/>
    </row>
    <row r="358" spans="1:27" ht="63" hidden="1">
      <c r="A358" s="334" t="s">
        <v>22</v>
      </c>
      <c r="B358" s="408" t="s">
        <v>587</v>
      </c>
      <c r="C358" s="409" t="s">
        <v>984</v>
      </c>
      <c r="D358" s="409" t="s">
        <v>1009</v>
      </c>
      <c r="E358" s="348" t="s">
        <v>1010</v>
      </c>
      <c r="F358" s="334" t="s">
        <v>2666</v>
      </c>
      <c r="G358" s="409" t="s">
        <v>62</v>
      </c>
      <c r="H358" s="409" t="s">
        <v>591</v>
      </c>
      <c r="I358" s="419">
        <v>1</v>
      </c>
      <c r="J358" s="334" t="s">
        <v>8</v>
      </c>
      <c r="K358" s="334"/>
      <c r="L358" s="344"/>
      <c r="M358" s="334"/>
      <c r="N358" s="334"/>
      <c r="O358" s="345"/>
      <c r="P358" s="334" t="s">
        <v>2902</v>
      </c>
      <c r="Q358" s="340"/>
      <c r="R358" s="349"/>
      <c r="S358" s="334"/>
      <c r="T358" s="334"/>
      <c r="U358" s="334"/>
      <c r="V358" s="334"/>
      <c r="W358" s="334"/>
      <c r="X358" s="334"/>
      <c r="Y358" s="334"/>
      <c r="Z358" s="334"/>
      <c r="AA358" s="334"/>
    </row>
    <row r="359" spans="1:27" ht="63" hidden="1">
      <c r="A359" s="334" t="s">
        <v>22</v>
      </c>
      <c r="B359" s="408" t="s">
        <v>587</v>
      </c>
      <c r="C359" s="409" t="s">
        <v>984</v>
      </c>
      <c r="D359" s="409" t="s">
        <v>1011</v>
      </c>
      <c r="E359" s="348" t="s">
        <v>1012</v>
      </c>
      <c r="F359" s="334" t="s">
        <v>2666</v>
      </c>
      <c r="G359" s="409" t="s">
        <v>62</v>
      </c>
      <c r="H359" s="409" t="s">
        <v>591</v>
      </c>
      <c r="I359" s="419">
        <v>1</v>
      </c>
      <c r="J359" s="334" t="s">
        <v>8</v>
      </c>
      <c r="K359" s="334"/>
      <c r="L359" s="344"/>
      <c r="M359" s="334"/>
      <c r="N359" s="334"/>
      <c r="O359" s="345"/>
      <c r="P359" s="334" t="s">
        <v>2902</v>
      </c>
      <c r="Q359" s="340"/>
      <c r="R359" s="349"/>
      <c r="S359" s="334"/>
      <c r="T359" s="334"/>
      <c r="U359" s="334"/>
      <c r="V359" s="334"/>
      <c r="W359" s="334"/>
      <c r="X359" s="334"/>
      <c r="Y359" s="334"/>
      <c r="Z359" s="334"/>
      <c r="AA359" s="334"/>
    </row>
    <row r="360" spans="1:27" ht="63" hidden="1">
      <c r="A360" s="334" t="s">
        <v>22</v>
      </c>
      <c r="B360" s="408" t="s">
        <v>587</v>
      </c>
      <c r="C360" s="409" t="s">
        <v>984</v>
      </c>
      <c r="D360" s="409" t="s">
        <v>1013</v>
      </c>
      <c r="E360" s="348" t="s">
        <v>1014</v>
      </c>
      <c r="F360" s="334" t="s">
        <v>2666</v>
      </c>
      <c r="G360" s="409" t="s">
        <v>62</v>
      </c>
      <c r="H360" s="409" t="s">
        <v>591</v>
      </c>
      <c r="I360" s="419">
        <v>1</v>
      </c>
      <c r="J360" s="334" t="s">
        <v>8</v>
      </c>
      <c r="K360" s="334"/>
      <c r="L360" s="344"/>
      <c r="M360" s="334"/>
      <c r="N360" s="334"/>
      <c r="O360" s="345"/>
      <c r="P360" s="334" t="s">
        <v>2902</v>
      </c>
      <c r="Q360" s="340"/>
      <c r="R360" s="349"/>
      <c r="S360" s="334"/>
      <c r="T360" s="334"/>
      <c r="U360" s="334"/>
      <c r="V360" s="334"/>
      <c r="W360" s="334"/>
      <c r="X360" s="334"/>
      <c r="Y360" s="334"/>
      <c r="Z360" s="334"/>
      <c r="AA360" s="334"/>
    </row>
    <row r="361" spans="1:27" ht="63" hidden="1">
      <c r="A361" s="334" t="s">
        <v>22</v>
      </c>
      <c r="B361" s="408" t="s">
        <v>587</v>
      </c>
      <c r="C361" s="409" t="s">
        <v>984</v>
      </c>
      <c r="D361" s="409" t="s">
        <v>1015</v>
      </c>
      <c r="E361" s="348" t="s">
        <v>1016</v>
      </c>
      <c r="F361" s="334" t="s">
        <v>2666</v>
      </c>
      <c r="G361" s="409" t="s">
        <v>62</v>
      </c>
      <c r="H361" s="409" t="s">
        <v>591</v>
      </c>
      <c r="I361" s="419">
        <v>1</v>
      </c>
      <c r="J361" s="334" t="s">
        <v>8</v>
      </c>
      <c r="K361" s="334"/>
      <c r="L361" s="344"/>
      <c r="M361" s="334"/>
      <c r="N361" s="334"/>
      <c r="O361" s="345"/>
      <c r="P361" s="334" t="s">
        <v>2902</v>
      </c>
      <c r="Q361" s="340"/>
      <c r="R361" s="349"/>
      <c r="S361" s="334"/>
      <c r="T361" s="334"/>
      <c r="U361" s="334"/>
      <c r="V361" s="334"/>
      <c r="W361" s="334"/>
      <c r="X361" s="334"/>
      <c r="Y361" s="334"/>
      <c r="Z361" s="334"/>
      <c r="AA361" s="334"/>
    </row>
    <row r="362" spans="1:27" ht="63" hidden="1">
      <c r="A362" s="334" t="s">
        <v>22</v>
      </c>
      <c r="B362" s="408" t="s">
        <v>587</v>
      </c>
      <c r="C362" s="409" t="s">
        <v>984</v>
      </c>
      <c r="D362" s="409" t="s">
        <v>1017</v>
      </c>
      <c r="E362" s="348" t="s">
        <v>1018</v>
      </c>
      <c r="F362" s="334" t="s">
        <v>2666</v>
      </c>
      <c r="G362" s="409" t="s">
        <v>62</v>
      </c>
      <c r="H362" s="409" t="s">
        <v>591</v>
      </c>
      <c r="I362" s="419">
        <v>1</v>
      </c>
      <c r="J362" s="334" t="s">
        <v>8</v>
      </c>
      <c r="K362" s="334"/>
      <c r="L362" s="344"/>
      <c r="M362" s="334"/>
      <c r="N362" s="334"/>
      <c r="O362" s="345"/>
      <c r="P362" s="334" t="s">
        <v>2902</v>
      </c>
      <c r="Q362" s="340"/>
      <c r="R362" s="349"/>
      <c r="S362" s="334"/>
      <c r="T362" s="334"/>
      <c r="U362" s="334"/>
      <c r="V362" s="334"/>
      <c r="W362" s="334"/>
      <c r="X362" s="334"/>
      <c r="Y362" s="334"/>
      <c r="Z362" s="334"/>
      <c r="AA362" s="334"/>
    </row>
    <row r="363" spans="1:27" ht="63" hidden="1">
      <c r="A363" s="334" t="s">
        <v>22</v>
      </c>
      <c r="B363" s="408" t="s">
        <v>587</v>
      </c>
      <c r="C363" s="409" t="s">
        <v>984</v>
      </c>
      <c r="D363" s="409" t="s">
        <v>1019</v>
      </c>
      <c r="E363" s="348" t="s">
        <v>1020</v>
      </c>
      <c r="F363" s="334" t="s">
        <v>2763</v>
      </c>
      <c r="G363" s="409" t="s">
        <v>62</v>
      </c>
      <c r="H363" s="409" t="s">
        <v>591</v>
      </c>
      <c r="I363" s="419">
        <v>1</v>
      </c>
      <c r="J363" s="334" t="s">
        <v>8</v>
      </c>
      <c r="K363" s="334"/>
      <c r="L363" s="344"/>
      <c r="M363" s="334"/>
      <c r="N363" s="334"/>
      <c r="O363" s="345"/>
      <c r="P363" s="334" t="s">
        <v>2902</v>
      </c>
      <c r="Q363" s="340"/>
      <c r="R363" s="349"/>
      <c r="S363" s="334"/>
      <c r="T363" s="334"/>
      <c r="U363" s="334"/>
      <c r="V363" s="334"/>
      <c r="W363" s="334"/>
      <c r="X363" s="334"/>
      <c r="Y363" s="334"/>
      <c r="Z363" s="334"/>
      <c r="AA363" s="334"/>
    </row>
    <row r="364" spans="1:27" ht="63" hidden="1">
      <c r="A364" s="334" t="s">
        <v>22</v>
      </c>
      <c r="B364" s="408" t="s">
        <v>587</v>
      </c>
      <c r="C364" s="409" t="s">
        <v>984</v>
      </c>
      <c r="D364" s="409" t="s">
        <v>1021</v>
      </c>
      <c r="E364" s="348" t="s">
        <v>1022</v>
      </c>
      <c r="F364" s="334" t="s">
        <v>2666</v>
      </c>
      <c r="G364" s="409" t="s">
        <v>62</v>
      </c>
      <c r="H364" s="409" t="s">
        <v>591</v>
      </c>
      <c r="I364" s="419">
        <v>1</v>
      </c>
      <c r="J364" s="334" t="s">
        <v>8</v>
      </c>
      <c r="K364" s="334"/>
      <c r="L364" s="344"/>
      <c r="M364" s="334"/>
      <c r="N364" s="334"/>
      <c r="O364" s="345"/>
      <c r="P364" s="334" t="s">
        <v>2902</v>
      </c>
      <c r="Q364" s="340"/>
      <c r="R364" s="349"/>
      <c r="S364" s="334"/>
      <c r="T364" s="334"/>
      <c r="U364" s="334"/>
      <c r="V364" s="334"/>
      <c r="W364" s="334"/>
      <c r="X364" s="334"/>
      <c r="Y364" s="334"/>
      <c r="Z364" s="334"/>
      <c r="AA364" s="334"/>
    </row>
    <row r="365" spans="1:27" ht="63" hidden="1">
      <c r="A365" s="334" t="s">
        <v>22</v>
      </c>
      <c r="B365" s="408" t="s">
        <v>587</v>
      </c>
      <c r="C365" s="409" t="s">
        <v>984</v>
      </c>
      <c r="D365" s="409" t="s">
        <v>1023</v>
      </c>
      <c r="E365" s="348" t="s">
        <v>1024</v>
      </c>
      <c r="F365" s="334" t="s">
        <v>2666</v>
      </c>
      <c r="G365" s="409" t="s">
        <v>62</v>
      </c>
      <c r="H365" s="409" t="s">
        <v>591</v>
      </c>
      <c r="I365" s="419">
        <v>1</v>
      </c>
      <c r="J365" s="334" t="s">
        <v>8</v>
      </c>
      <c r="K365" s="334"/>
      <c r="L365" s="344"/>
      <c r="M365" s="334"/>
      <c r="N365" s="334"/>
      <c r="O365" s="345"/>
      <c r="P365" s="334" t="s">
        <v>2902</v>
      </c>
      <c r="Q365" s="340"/>
      <c r="R365" s="349"/>
      <c r="S365" s="334"/>
      <c r="T365" s="334"/>
      <c r="U365" s="334"/>
      <c r="V365" s="334"/>
      <c r="W365" s="334"/>
      <c r="X365" s="334"/>
      <c r="Y365" s="334"/>
      <c r="Z365" s="334"/>
      <c r="AA365" s="334"/>
    </row>
    <row r="366" spans="1:27" ht="63" hidden="1">
      <c r="A366" s="334" t="s">
        <v>22</v>
      </c>
      <c r="B366" s="408" t="s">
        <v>587</v>
      </c>
      <c r="C366" s="409" t="s">
        <v>984</v>
      </c>
      <c r="D366" s="409" t="s">
        <v>1025</v>
      </c>
      <c r="E366" s="348" t="s">
        <v>1026</v>
      </c>
      <c r="F366" s="334" t="s">
        <v>2658</v>
      </c>
      <c r="G366" s="409" t="s">
        <v>62</v>
      </c>
      <c r="H366" s="409" t="s">
        <v>591</v>
      </c>
      <c r="I366" s="419">
        <v>1</v>
      </c>
      <c r="J366" s="334" t="s">
        <v>8</v>
      </c>
      <c r="K366" s="334"/>
      <c r="L366" s="344"/>
      <c r="M366" s="334"/>
      <c r="N366" s="334"/>
      <c r="O366" s="345"/>
      <c r="P366" s="334" t="s">
        <v>2902</v>
      </c>
      <c r="Q366" s="340"/>
      <c r="R366" s="349"/>
      <c r="S366" s="334"/>
      <c r="T366" s="334"/>
      <c r="U366" s="334"/>
      <c r="V366" s="334"/>
      <c r="W366" s="334"/>
      <c r="X366" s="334"/>
      <c r="Y366" s="334"/>
      <c r="Z366" s="334"/>
      <c r="AA366" s="334"/>
    </row>
    <row r="367" spans="1:27" ht="63" hidden="1">
      <c r="A367" s="334" t="s">
        <v>22</v>
      </c>
      <c r="B367" s="408" t="s">
        <v>587</v>
      </c>
      <c r="C367" s="409" t="s">
        <v>984</v>
      </c>
      <c r="D367" s="409" t="s">
        <v>1027</v>
      </c>
      <c r="E367" s="348" t="s">
        <v>1028</v>
      </c>
      <c r="F367" s="334" t="s">
        <v>2658</v>
      </c>
      <c r="G367" s="409" t="s">
        <v>62</v>
      </c>
      <c r="H367" s="409" t="s">
        <v>591</v>
      </c>
      <c r="I367" s="419">
        <v>1</v>
      </c>
      <c r="J367" s="334" t="s">
        <v>8</v>
      </c>
      <c r="K367" s="334"/>
      <c r="L367" s="344"/>
      <c r="M367" s="334"/>
      <c r="N367" s="334"/>
      <c r="O367" s="345"/>
      <c r="P367" s="334" t="s">
        <v>2902</v>
      </c>
      <c r="Q367" s="340"/>
      <c r="R367" s="349"/>
      <c r="S367" s="334"/>
      <c r="T367" s="334"/>
      <c r="U367" s="334"/>
      <c r="V367" s="334"/>
      <c r="W367" s="334"/>
      <c r="X367" s="334"/>
      <c r="Y367" s="334"/>
      <c r="Z367" s="334"/>
      <c r="AA367" s="334"/>
    </row>
    <row r="368" spans="1:27" ht="63" hidden="1">
      <c r="A368" s="334" t="s">
        <v>22</v>
      </c>
      <c r="B368" s="408" t="s">
        <v>587</v>
      </c>
      <c r="C368" s="409" t="s">
        <v>984</v>
      </c>
      <c r="D368" s="409" t="s">
        <v>1029</v>
      </c>
      <c r="E368" s="348" t="s">
        <v>1030</v>
      </c>
      <c r="F368" s="334" t="s">
        <v>2658</v>
      </c>
      <c r="G368" s="409" t="s">
        <v>62</v>
      </c>
      <c r="H368" s="409" t="s">
        <v>591</v>
      </c>
      <c r="I368" s="419">
        <v>1</v>
      </c>
      <c r="J368" s="334" t="s">
        <v>8</v>
      </c>
      <c r="K368" s="334"/>
      <c r="L368" s="344"/>
      <c r="M368" s="334"/>
      <c r="N368" s="334"/>
      <c r="O368" s="345"/>
      <c r="P368" s="334" t="s">
        <v>2902</v>
      </c>
      <c r="Q368" s="340"/>
      <c r="R368" s="349"/>
      <c r="S368" s="334"/>
      <c r="T368" s="334"/>
      <c r="U368" s="334"/>
      <c r="V368" s="334"/>
      <c r="W368" s="334"/>
      <c r="X368" s="334"/>
      <c r="Y368" s="334"/>
      <c r="Z368" s="334"/>
      <c r="AA368" s="334"/>
    </row>
    <row r="369" spans="1:27" ht="63" hidden="1">
      <c r="A369" s="334" t="s">
        <v>22</v>
      </c>
      <c r="B369" s="408" t="s">
        <v>587</v>
      </c>
      <c r="C369" s="409" t="s">
        <v>984</v>
      </c>
      <c r="D369" s="409" t="s">
        <v>1031</v>
      </c>
      <c r="E369" s="348" t="s">
        <v>1032</v>
      </c>
      <c r="F369" s="334" t="s">
        <v>2658</v>
      </c>
      <c r="G369" s="409" t="s">
        <v>62</v>
      </c>
      <c r="H369" s="409" t="s">
        <v>591</v>
      </c>
      <c r="I369" s="419">
        <v>1</v>
      </c>
      <c r="J369" s="334" t="s">
        <v>8</v>
      </c>
      <c r="K369" s="334"/>
      <c r="L369" s="344"/>
      <c r="M369" s="334"/>
      <c r="N369" s="334"/>
      <c r="O369" s="345"/>
      <c r="P369" s="334" t="s">
        <v>2902</v>
      </c>
      <c r="Q369" s="340"/>
      <c r="R369" s="349"/>
      <c r="S369" s="334"/>
      <c r="T369" s="334"/>
      <c r="U369" s="334"/>
      <c r="V369" s="334"/>
      <c r="W369" s="334"/>
      <c r="X369" s="334"/>
      <c r="Y369" s="334"/>
      <c r="Z369" s="334"/>
      <c r="AA369" s="334"/>
    </row>
    <row r="370" spans="1:27" ht="63" hidden="1">
      <c r="A370" s="334" t="s">
        <v>22</v>
      </c>
      <c r="B370" s="408" t="s">
        <v>587</v>
      </c>
      <c r="C370" s="409" t="s">
        <v>984</v>
      </c>
      <c r="D370" s="409" t="s">
        <v>1033</v>
      </c>
      <c r="E370" s="348" t="s">
        <v>1034</v>
      </c>
      <c r="F370" s="334" t="s">
        <v>2658</v>
      </c>
      <c r="G370" s="409" t="s">
        <v>62</v>
      </c>
      <c r="H370" s="409" t="s">
        <v>591</v>
      </c>
      <c r="I370" s="419">
        <v>1</v>
      </c>
      <c r="J370" s="334" t="s">
        <v>8</v>
      </c>
      <c r="K370" s="334"/>
      <c r="L370" s="344"/>
      <c r="M370" s="334"/>
      <c r="N370" s="334"/>
      <c r="O370" s="345"/>
      <c r="P370" s="334" t="s">
        <v>2902</v>
      </c>
      <c r="Q370" s="340"/>
      <c r="R370" s="349"/>
      <c r="S370" s="334"/>
      <c r="T370" s="334"/>
      <c r="U370" s="334"/>
      <c r="V370" s="334"/>
      <c r="W370" s="334"/>
      <c r="X370" s="334"/>
      <c r="Y370" s="334"/>
      <c r="Z370" s="334"/>
      <c r="AA370" s="334"/>
    </row>
    <row r="371" spans="1:27" ht="63" hidden="1">
      <c r="A371" s="334" t="s">
        <v>22</v>
      </c>
      <c r="B371" s="408" t="s">
        <v>587</v>
      </c>
      <c r="C371" s="409" t="s">
        <v>984</v>
      </c>
      <c r="D371" s="409" t="s">
        <v>1035</v>
      </c>
      <c r="E371" s="348" t="s">
        <v>1036</v>
      </c>
      <c r="F371" s="334" t="s">
        <v>2658</v>
      </c>
      <c r="G371" s="409" t="s">
        <v>62</v>
      </c>
      <c r="H371" s="409" t="s">
        <v>591</v>
      </c>
      <c r="I371" s="419">
        <v>1</v>
      </c>
      <c r="J371" s="334" t="s">
        <v>8</v>
      </c>
      <c r="K371" s="334"/>
      <c r="L371" s="344"/>
      <c r="M371" s="334"/>
      <c r="N371" s="334"/>
      <c r="O371" s="345"/>
      <c r="P371" s="334" t="s">
        <v>2902</v>
      </c>
      <c r="Q371" s="340"/>
      <c r="R371" s="349"/>
      <c r="S371" s="334"/>
      <c r="T371" s="334"/>
      <c r="U371" s="334"/>
      <c r="V371" s="334"/>
      <c r="W371" s="334"/>
      <c r="X371" s="334"/>
      <c r="Y371" s="334"/>
      <c r="Z371" s="334"/>
      <c r="AA371" s="334"/>
    </row>
    <row r="372" spans="1:27" ht="63" hidden="1">
      <c r="A372" s="334" t="s">
        <v>22</v>
      </c>
      <c r="B372" s="408" t="s">
        <v>587</v>
      </c>
      <c r="C372" s="409" t="s">
        <v>984</v>
      </c>
      <c r="D372" s="409" t="s">
        <v>1037</v>
      </c>
      <c r="E372" s="348" t="s">
        <v>1038</v>
      </c>
      <c r="F372" s="334" t="s">
        <v>2658</v>
      </c>
      <c r="G372" s="409" t="s">
        <v>62</v>
      </c>
      <c r="H372" s="409" t="s">
        <v>591</v>
      </c>
      <c r="I372" s="419">
        <v>1</v>
      </c>
      <c r="J372" s="334" t="s">
        <v>8</v>
      </c>
      <c r="K372" s="334"/>
      <c r="L372" s="344"/>
      <c r="M372" s="334"/>
      <c r="N372" s="334"/>
      <c r="O372" s="345"/>
      <c r="P372" s="334" t="s">
        <v>2902</v>
      </c>
      <c r="Q372" s="340"/>
      <c r="R372" s="349"/>
      <c r="S372" s="334"/>
      <c r="T372" s="334"/>
      <c r="U372" s="334"/>
      <c r="V372" s="334"/>
      <c r="W372" s="334"/>
      <c r="X372" s="334"/>
      <c r="Y372" s="334"/>
      <c r="Z372" s="334"/>
      <c r="AA372" s="334"/>
    </row>
    <row r="373" spans="1:27" ht="63" hidden="1">
      <c r="A373" s="334" t="s">
        <v>22</v>
      </c>
      <c r="B373" s="408" t="s">
        <v>587</v>
      </c>
      <c r="C373" s="409" t="s">
        <v>984</v>
      </c>
      <c r="D373" s="409" t="s">
        <v>1039</v>
      </c>
      <c r="E373" s="348" t="s">
        <v>1040</v>
      </c>
      <c r="F373" s="334" t="s">
        <v>2658</v>
      </c>
      <c r="G373" s="409" t="s">
        <v>62</v>
      </c>
      <c r="H373" s="409" t="s">
        <v>591</v>
      </c>
      <c r="I373" s="419">
        <v>1</v>
      </c>
      <c r="J373" s="334" t="s">
        <v>8</v>
      </c>
      <c r="K373" s="334"/>
      <c r="L373" s="344"/>
      <c r="M373" s="334"/>
      <c r="N373" s="334"/>
      <c r="O373" s="345"/>
      <c r="P373" s="334" t="s">
        <v>2902</v>
      </c>
      <c r="Q373" s="340"/>
      <c r="R373" s="349"/>
      <c r="S373" s="334"/>
      <c r="T373" s="334"/>
      <c r="U373" s="334"/>
      <c r="V373" s="334"/>
      <c r="W373" s="334"/>
      <c r="X373" s="334"/>
      <c r="Y373" s="334"/>
      <c r="Z373" s="334"/>
      <c r="AA373" s="334"/>
    </row>
    <row r="374" spans="1:27" ht="63" hidden="1">
      <c r="A374" s="334" t="s">
        <v>22</v>
      </c>
      <c r="B374" s="408" t="s">
        <v>587</v>
      </c>
      <c r="C374" s="409" t="s">
        <v>984</v>
      </c>
      <c r="D374" s="409" t="s">
        <v>1041</v>
      </c>
      <c r="E374" s="348" t="s">
        <v>1042</v>
      </c>
      <c r="F374" s="334" t="s">
        <v>2658</v>
      </c>
      <c r="G374" s="409" t="s">
        <v>62</v>
      </c>
      <c r="H374" s="409" t="s">
        <v>591</v>
      </c>
      <c r="I374" s="419">
        <v>1</v>
      </c>
      <c r="J374" s="334" t="s">
        <v>8</v>
      </c>
      <c r="K374" s="334"/>
      <c r="L374" s="344"/>
      <c r="M374" s="334"/>
      <c r="N374" s="334"/>
      <c r="O374" s="345"/>
      <c r="P374" s="334" t="s">
        <v>2902</v>
      </c>
      <c r="Q374" s="340"/>
      <c r="R374" s="349"/>
      <c r="S374" s="334"/>
      <c r="T374" s="334"/>
      <c r="U374" s="334"/>
      <c r="V374" s="334"/>
      <c r="W374" s="334"/>
      <c r="X374" s="334"/>
      <c r="Y374" s="334"/>
      <c r="Z374" s="334"/>
      <c r="AA374" s="334"/>
    </row>
    <row r="375" spans="1:27" ht="63" hidden="1">
      <c r="A375" s="334" t="s">
        <v>22</v>
      </c>
      <c r="B375" s="408" t="s">
        <v>587</v>
      </c>
      <c r="C375" s="409" t="s">
        <v>984</v>
      </c>
      <c r="D375" s="409" t="s">
        <v>1043</v>
      </c>
      <c r="E375" s="348" t="s">
        <v>1044</v>
      </c>
      <c r="F375" s="334" t="s">
        <v>2658</v>
      </c>
      <c r="G375" s="409" t="s">
        <v>62</v>
      </c>
      <c r="H375" s="409" t="s">
        <v>591</v>
      </c>
      <c r="I375" s="419">
        <v>1</v>
      </c>
      <c r="J375" s="334" t="s">
        <v>8</v>
      </c>
      <c r="K375" s="334"/>
      <c r="L375" s="344"/>
      <c r="M375" s="334"/>
      <c r="N375" s="334"/>
      <c r="O375" s="345"/>
      <c r="P375" s="334" t="s">
        <v>2902</v>
      </c>
      <c r="Q375" s="340"/>
      <c r="R375" s="349"/>
      <c r="S375" s="334"/>
      <c r="T375" s="334"/>
      <c r="U375" s="334"/>
      <c r="V375" s="334"/>
      <c r="W375" s="334"/>
      <c r="X375" s="334"/>
      <c r="Y375" s="334"/>
      <c r="Z375" s="334"/>
      <c r="AA375" s="334"/>
    </row>
    <row r="376" spans="1:27" ht="63" hidden="1">
      <c r="A376" s="334" t="s">
        <v>22</v>
      </c>
      <c r="B376" s="408" t="s">
        <v>587</v>
      </c>
      <c r="C376" s="409" t="s">
        <v>1045</v>
      </c>
      <c r="D376" s="409" t="s">
        <v>1046</v>
      </c>
      <c r="E376" s="409" t="s">
        <v>1047</v>
      </c>
      <c r="F376" s="336"/>
      <c r="G376" s="418" t="s">
        <v>62</v>
      </c>
      <c r="H376" s="336"/>
      <c r="I376" s="336"/>
      <c r="J376" s="336"/>
      <c r="K376" s="336"/>
      <c r="L376" s="338"/>
      <c r="M376" s="336"/>
      <c r="N376" s="336"/>
      <c r="O376" s="339"/>
      <c r="P376" s="336"/>
      <c r="Q376" s="340"/>
      <c r="R376" s="341"/>
      <c r="S376" s="336"/>
      <c r="T376" s="336"/>
      <c r="U376" s="336"/>
      <c r="V376" s="336"/>
      <c r="W376" s="336"/>
      <c r="X376" s="336"/>
      <c r="Y376" s="336"/>
      <c r="Z376" s="336"/>
      <c r="AA376" s="334"/>
    </row>
    <row r="377" spans="1:27" ht="283.5" hidden="1">
      <c r="A377" s="334" t="s">
        <v>22</v>
      </c>
      <c r="B377" s="408" t="s">
        <v>587</v>
      </c>
      <c r="C377" s="409" t="s">
        <v>1045</v>
      </c>
      <c r="D377" s="409" t="s">
        <v>1048</v>
      </c>
      <c r="E377" s="348" t="s">
        <v>1049</v>
      </c>
      <c r="F377" s="334" t="s">
        <v>2825</v>
      </c>
      <c r="G377" s="409" t="s">
        <v>62</v>
      </c>
      <c r="H377" s="409" t="s">
        <v>735</v>
      </c>
      <c r="I377" s="419">
        <v>1</v>
      </c>
      <c r="J377" s="334" t="s">
        <v>1090</v>
      </c>
      <c r="K377" s="334" t="s">
        <v>2916</v>
      </c>
      <c r="L377" s="344"/>
      <c r="M377" s="334"/>
      <c r="N377" s="334"/>
      <c r="O377" s="345"/>
      <c r="P377" s="334"/>
      <c r="Q377" s="340"/>
      <c r="R377" s="349"/>
      <c r="S377" s="334"/>
      <c r="T377" s="334"/>
      <c r="U377" s="334"/>
      <c r="V377" s="334"/>
      <c r="W377" s="334"/>
      <c r="X377" s="334"/>
      <c r="Y377" s="334"/>
      <c r="Z377" s="334"/>
      <c r="AA377" s="334"/>
    </row>
    <row r="378" spans="1:27" ht="63" hidden="1">
      <c r="A378" s="334" t="s">
        <v>22</v>
      </c>
      <c r="B378" s="408" t="s">
        <v>587</v>
      </c>
      <c r="C378" s="409" t="s">
        <v>1045</v>
      </c>
      <c r="D378" s="409" t="s">
        <v>1050</v>
      </c>
      <c r="E378" s="348" t="s">
        <v>1051</v>
      </c>
      <c r="F378" s="334" t="s">
        <v>2658</v>
      </c>
      <c r="G378" s="409" t="s">
        <v>62</v>
      </c>
      <c r="H378" s="409" t="s">
        <v>428</v>
      </c>
      <c r="I378" s="419">
        <v>0.5</v>
      </c>
      <c r="J378" s="334" t="s">
        <v>8</v>
      </c>
      <c r="K378" s="334"/>
      <c r="L378" s="344"/>
      <c r="M378" s="334"/>
      <c r="N378" s="334"/>
      <c r="O378" s="345"/>
      <c r="P378" s="334" t="s">
        <v>2902</v>
      </c>
      <c r="Q378" s="340"/>
      <c r="R378" s="349"/>
      <c r="S378" s="334"/>
      <c r="T378" s="334"/>
      <c r="U378" s="334"/>
      <c r="V378" s="334"/>
      <c r="W378" s="334"/>
      <c r="X378" s="334"/>
      <c r="Y378" s="334"/>
      <c r="Z378" s="334"/>
      <c r="AA378" s="334"/>
    </row>
    <row r="379" spans="1:27" ht="99" hidden="1" customHeight="1">
      <c r="A379" s="334" t="s">
        <v>22</v>
      </c>
      <c r="B379" s="408" t="s">
        <v>587</v>
      </c>
      <c r="C379" s="409" t="s">
        <v>1052</v>
      </c>
      <c r="D379" s="409" t="s">
        <v>1053</v>
      </c>
      <c r="E379" s="409" t="s">
        <v>1054</v>
      </c>
      <c r="F379" s="334" t="s">
        <v>2658</v>
      </c>
      <c r="G379" s="409" t="s">
        <v>58</v>
      </c>
      <c r="H379" s="409" t="s">
        <v>623</v>
      </c>
      <c r="I379" s="419">
        <v>0.5</v>
      </c>
      <c r="J379" s="334" t="s">
        <v>8</v>
      </c>
      <c r="K379" s="334"/>
      <c r="L379" s="344"/>
      <c r="M379" s="334"/>
      <c r="N379" s="334"/>
      <c r="O379" s="345"/>
      <c r="P379" s="334" t="s">
        <v>2902</v>
      </c>
      <c r="Q379" s="340"/>
      <c r="R379" s="349"/>
      <c r="S379" s="334"/>
      <c r="T379" s="334"/>
      <c r="U379" s="334"/>
      <c r="V379" s="334"/>
      <c r="W379" s="334"/>
      <c r="X379" s="334"/>
      <c r="Y379" s="334"/>
      <c r="Z379" s="334"/>
      <c r="AA379" s="334"/>
    </row>
    <row r="380" spans="1:27" ht="39.6" hidden="1" customHeight="1">
      <c r="A380" s="334" t="s">
        <v>22</v>
      </c>
      <c r="B380" s="408" t="s">
        <v>587</v>
      </c>
      <c r="C380" s="409" t="s">
        <v>1052</v>
      </c>
      <c r="D380" s="409" t="s">
        <v>1055</v>
      </c>
      <c r="E380" s="409" t="s">
        <v>1056</v>
      </c>
      <c r="F380" s="334" t="s">
        <v>2676</v>
      </c>
      <c r="G380" s="409" t="s">
        <v>62</v>
      </c>
      <c r="H380" s="409" t="s">
        <v>1057</v>
      </c>
      <c r="I380" s="409" t="s">
        <v>221</v>
      </c>
      <c r="J380" s="334" t="s">
        <v>8</v>
      </c>
      <c r="K380" s="334"/>
      <c r="L380" s="344"/>
      <c r="M380" s="334"/>
      <c r="N380" s="334"/>
      <c r="O380" s="345"/>
      <c r="P380" s="334" t="s">
        <v>2902</v>
      </c>
      <c r="Q380" s="340"/>
      <c r="R380" s="349"/>
      <c r="S380" s="334"/>
      <c r="T380" s="334"/>
      <c r="U380" s="334"/>
      <c r="V380" s="334"/>
      <c r="W380" s="334"/>
      <c r="X380" s="334"/>
      <c r="Y380" s="334"/>
      <c r="Z380" s="334"/>
      <c r="AA380" s="334"/>
    </row>
    <row r="381" spans="1:27" ht="63" hidden="1" customHeight="1">
      <c r="A381" s="334" t="s">
        <v>22</v>
      </c>
      <c r="B381" s="408" t="s">
        <v>587</v>
      </c>
      <c r="C381" s="409" t="s">
        <v>1058</v>
      </c>
      <c r="D381" s="409" t="s">
        <v>1059</v>
      </c>
      <c r="E381" s="409" t="s">
        <v>1060</v>
      </c>
      <c r="F381" s="334" t="s">
        <v>2658</v>
      </c>
      <c r="G381" s="409" t="s">
        <v>62</v>
      </c>
      <c r="H381" s="409" t="s">
        <v>1061</v>
      </c>
      <c r="I381" s="419">
        <v>0.5</v>
      </c>
      <c r="J381" s="334" t="s">
        <v>8</v>
      </c>
      <c r="K381" s="334"/>
      <c r="L381" s="344"/>
      <c r="M381" s="334"/>
      <c r="N381" s="334"/>
      <c r="O381" s="345"/>
      <c r="P381" s="334" t="s">
        <v>2902</v>
      </c>
      <c r="Q381" s="340"/>
      <c r="R381" s="349"/>
      <c r="S381" s="334"/>
      <c r="T381" s="334"/>
      <c r="U381" s="334"/>
      <c r="V381" s="334"/>
      <c r="W381" s="334"/>
      <c r="X381" s="334"/>
      <c r="Y381" s="334"/>
      <c r="Z381" s="334"/>
      <c r="AA381" s="334"/>
    </row>
    <row r="382" spans="1:27" hidden="1">
      <c r="A382" s="421" t="s">
        <v>1062</v>
      </c>
      <c r="B382" s="422"/>
      <c r="C382" s="423"/>
      <c r="D382" s="423"/>
      <c r="E382" s="423"/>
      <c r="F382" s="424"/>
      <c r="G382" s="423"/>
      <c r="H382" s="423"/>
      <c r="I382" s="425"/>
      <c r="J382" s="424"/>
      <c r="K382" s="424"/>
      <c r="L382" s="424"/>
      <c r="M382" s="424"/>
      <c r="N382" s="424"/>
      <c r="O382" s="424"/>
      <c r="P382" s="426"/>
      <c r="Q382" s="427"/>
      <c r="R382" s="428"/>
      <c r="S382" s="424"/>
      <c r="T382" s="424"/>
      <c r="U382" s="424"/>
      <c r="V382" s="424"/>
      <c r="W382" s="424"/>
      <c r="X382" s="424"/>
      <c r="Y382" s="424"/>
      <c r="Z382" s="424"/>
      <c r="AA382" s="424"/>
    </row>
    <row r="383" spans="1:27" ht="299.25" hidden="1">
      <c r="A383" s="334" t="s">
        <v>24</v>
      </c>
      <c r="B383" s="408" t="s">
        <v>54</v>
      </c>
      <c r="C383" s="409" t="s">
        <v>1063</v>
      </c>
      <c r="D383" s="409" t="s">
        <v>1064</v>
      </c>
      <c r="E383" s="409" t="s">
        <v>1065</v>
      </c>
      <c r="F383" s="334" t="s">
        <v>2676</v>
      </c>
      <c r="G383" s="409" t="s">
        <v>62</v>
      </c>
      <c r="H383" s="409" t="s">
        <v>1066</v>
      </c>
      <c r="I383" s="409" t="s">
        <v>1067</v>
      </c>
      <c r="J383" s="334" t="s">
        <v>1191</v>
      </c>
      <c r="K383" s="334" t="s">
        <v>2917</v>
      </c>
      <c r="L383" s="344"/>
      <c r="M383" s="334"/>
      <c r="N383" s="334"/>
      <c r="O383" s="345"/>
      <c r="P383" s="334" t="s">
        <v>2918</v>
      </c>
      <c r="Q383" s="340"/>
      <c r="R383" s="349"/>
      <c r="S383" s="334"/>
      <c r="T383" s="334"/>
      <c r="U383" s="334"/>
      <c r="V383" s="334"/>
      <c r="W383" s="334"/>
      <c r="X383" s="334"/>
      <c r="Y383" s="334"/>
      <c r="Z383" s="334"/>
      <c r="AA383" s="334"/>
    </row>
    <row r="384" spans="1:27" ht="362.25" hidden="1">
      <c r="A384" s="334" t="s">
        <v>24</v>
      </c>
      <c r="B384" s="408" t="s">
        <v>54</v>
      </c>
      <c r="C384" s="409" t="s">
        <v>1068</v>
      </c>
      <c r="D384" s="409" t="s">
        <v>1069</v>
      </c>
      <c r="E384" s="409" t="s">
        <v>1070</v>
      </c>
      <c r="F384" s="334" t="s">
        <v>2676</v>
      </c>
      <c r="G384" s="409" t="s">
        <v>62</v>
      </c>
      <c r="H384" s="409" t="s">
        <v>1071</v>
      </c>
      <c r="I384" s="409" t="s">
        <v>1072</v>
      </c>
      <c r="J384" s="334" t="s">
        <v>1191</v>
      </c>
      <c r="K384" s="409" t="s">
        <v>2919</v>
      </c>
      <c r="L384" s="344"/>
      <c r="M384" s="334"/>
      <c r="N384" s="334"/>
      <c r="O384" s="345"/>
      <c r="P384" s="409" t="s">
        <v>2920</v>
      </c>
      <c r="Q384" s="340"/>
      <c r="R384" s="349"/>
      <c r="S384" s="334"/>
      <c r="T384" s="334"/>
      <c r="U384" s="334"/>
      <c r="V384" s="334"/>
      <c r="W384" s="334"/>
      <c r="X384" s="334"/>
      <c r="Y384" s="334"/>
      <c r="Z384" s="334"/>
      <c r="AA384" s="334"/>
    </row>
    <row r="385" spans="1:51" ht="80.45" hidden="1" customHeight="1">
      <c r="A385" s="334" t="s">
        <v>24</v>
      </c>
      <c r="B385" s="408" t="s">
        <v>54</v>
      </c>
      <c r="C385" s="409" t="s">
        <v>1068</v>
      </c>
      <c r="D385" s="409" t="s">
        <v>1073</v>
      </c>
      <c r="E385" s="409" t="s">
        <v>1074</v>
      </c>
      <c r="F385" s="334" t="s">
        <v>2658</v>
      </c>
      <c r="G385" s="409" t="s">
        <v>62</v>
      </c>
      <c r="H385" s="409" t="s">
        <v>182</v>
      </c>
      <c r="I385" s="419">
        <v>1</v>
      </c>
      <c r="J385" s="334" t="s">
        <v>1191</v>
      </c>
      <c r="K385" s="334" t="s">
        <v>2921</v>
      </c>
      <c r="L385" s="344"/>
      <c r="M385" s="334"/>
      <c r="N385" s="334"/>
      <c r="O385" s="345"/>
      <c r="P385" s="334"/>
      <c r="Q385" s="340"/>
      <c r="R385" s="349"/>
      <c r="S385" s="334"/>
      <c r="T385" s="334"/>
      <c r="U385" s="334"/>
      <c r="V385" s="334"/>
      <c r="W385" s="334"/>
      <c r="X385" s="334"/>
      <c r="Y385" s="334"/>
      <c r="Z385" s="334"/>
      <c r="AA385" s="334"/>
    </row>
    <row r="386" spans="1:51" s="429" customFormat="1" ht="31.5" hidden="1">
      <c r="A386" s="336" t="s">
        <v>24</v>
      </c>
      <c r="B386" s="410" t="s">
        <v>54</v>
      </c>
      <c r="C386" s="418" t="s">
        <v>1075</v>
      </c>
      <c r="D386" s="336" t="s">
        <v>582</v>
      </c>
      <c r="E386" s="418" t="s">
        <v>582</v>
      </c>
      <c r="F386" s="418" t="s">
        <v>582</v>
      </c>
      <c r="G386" s="336" t="s">
        <v>582</v>
      </c>
      <c r="H386" s="336" t="s">
        <v>582</v>
      </c>
      <c r="I386" s="336" t="s">
        <v>582</v>
      </c>
      <c r="J386" s="336" t="s">
        <v>582</v>
      </c>
      <c r="K386" s="336" t="s">
        <v>582</v>
      </c>
      <c r="L386" s="336" t="s">
        <v>582</v>
      </c>
      <c r="M386" s="336" t="s">
        <v>582</v>
      </c>
      <c r="N386" s="336" t="s">
        <v>582</v>
      </c>
      <c r="O386" s="336" t="s">
        <v>582</v>
      </c>
      <c r="P386" s="336" t="s">
        <v>582</v>
      </c>
      <c r="Q386" s="391"/>
      <c r="R386" s="341" t="s">
        <v>582</v>
      </c>
      <c r="S386" s="336" t="s">
        <v>582</v>
      </c>
      <c r="T386" s="336" t="s">
        <v>582</v>
      </c>
      <c r="U386" s="336"/>
      <c r="V386" s="336" t="s">
        <v>582</v>
      </c>
      <c r="W386" s="336" t="s">
        <v>582</v>
      </c>
      <c r="X386" s="336" t="s">
        <v>582</v>
      </c>
      <c r="Y386" s="336" t="s">
        <v>582</v>
      </c>
      <c r="Z386" s="336" t="s">
        <v>582</v>
      </c>
      <c r="AA386" s="336" t="s">
        <v>582</v>
      </c>
      <c r="AB386" s="327"/>
      <c r="AC386" s="327"/>
      <c r="AD386" s="327"/>
      <c r="AE386" s="327"/>
      <c r="AF386" s="327"/>
      <c r="AG386" s="327"/>
      <c r="AH386" s="327"/>
      <c r="AI386" s="327"/>
      <c r="AJ386" s="327"/>
      <c r="AK386" s="327"/>
      <c r="AL386" s="327"/>
      <c r="AM386" s="327"/>
      <c r="AN386" s="327"/>
      <c r="AO386" s="327"/>
      <c r="AP386" s="327"/>
      <c r="AQ386" s="327"/>
      <c r="AR386" s="327"/>
      <c r="AS386" s="327"/>
      <c r="AT386" s="327"/>
      <c r="AU386" s="327"/>
      <c r="AV386" s="327"/>
      <c r="AW386" s="327"/>
      <c r="AX386" s="327"/>
      <c r="AY386" s="327"/>
    </row>
    <row r="387" spans="1:51" s="429" customFormat="1" ht="94.5" hidden="1">
      <c r="A387" s="334" t="s">
        <v>24</v>
      </c>
      <c r="B387" s="408" t="s">
        <v>195</v>
      </c>
      <c r="C387" s="409" t="s">
        <v>1076</v>
      </c>
      <c r="D387" s="409" t="s">
        <v>1077</v>
      </c>
      <c r="E387" s="409" t="s">
        <v>1078</v>
      </c>
      <c r="F387" s="336"/>
      <c r="G387" s="418" t="s">
        <v>62</v>
      </c>
      <c r="H387" s="418"/>
      <c r="I387" s="420"/>
      <c r="J387" s="336"/>
      <c r="K387" s="336"/>
      <c r="L387" s="338"/>
      <c r="M387" s="336"/>
      <c r="N387" s="336"/>
      <c r="O387" s="339"/>
      <c r="P387" s="336"/>
      <c r="Q387" s="340"/>
      <c r="R387" s="341"/>
      <c r="S387" s="336"/>
      <c r="T387" s="336"/>
      <c r="U387" s="336"/>
      <c r="V387" s="336"/>
      <c r="W387" s="336"/>
      <c r="X387" s="336"/>
      <c r="Y387" s="336"/>
      <c r="Z387" s="336"/>
      <c r="AA387" s="336"/>
      <c r="AB387" s="327"/>
      <c r="AC387" s="327"/>
      <c r="AD387" s="327"/>
      <c r="AE387" s="327"/>
      <c r="AF387" s="327"/>
      <c r="AG387" s="327"/>
      <c r="AH387" s="327"/>
      <c r="AI387" s="327"/>
      <c r="AJ387" s="327"/>
      <c r="AK387" s="327"/>
      <c r="AL387" s="327"/>
      <c r="AM387" s="327"/>
      <c r="AN387" s="327"/>
      <c r="AO387" s="327"/>
      <c r="AP387" s="327"/>
      <c r="AQ387" s="327"/>
      <c r="AR387" s="327"/>
      <c r="AS387" s="327"/>
      <c r="AT387" s="327"/>
      <c r="AU387" s="327"/>
      <c r="AV387" s="327"/>
      <c r="AW387" s="327"/>
      <c r="AX387" s="327"/>
      <c r="AY387" s="327"/>
    </row>
    <row r="388" spans="1:51" ht="62.45" hidden="1" customHeight="1">
      <c r="A388" s="334" t="s">
        <v>24</v>
      </c>
      <c r="B388" s="408" t="s">
        <v>195</v>
      </c>
      <c r="C388" s="409" t="s">
        <v>1076</v>
      </c>
      <c r="D388" s="409" t="s">
        <v>1079</v>
      </c>
      <c r="E388" s="348" t="s">
        <v>1080</v>
      </c>
      <c r="F388" s="334" t="s">
        <v>2676</v>
      </c>
      <c r="G388" s="409" t="s">
        <v>62</v>
      </c>
      <c r="H388" s="409" t="s">
        <v>1081</v>
      </c>
      <c r="I388" s="419">
        <v>1</v>
      </c>
      <c r="J388" s="334" t="s">
        <v>8</v>
      </c>
      <c r="K388" s="334"/>
      <c r="L388" s="344"/>
      <c r="M388" s="334"/>
      <c r="N388" s="334"/>
      <c r="O388" s="345"/>
      <c r="P388" s="334" t="s">
        <v>2902</v>
      </c>
      <c r="Q388" s="340"/>
      <c r="R388" s="349"/>
      <c r="S388" s="334"/>
      <c r="T388" s="334"/>
      <c r="U388" s="334"/>
      <c r="V388" s="334"/>
      <c r="W388" s="334"/>
      <c r="X388" s="334"/>
      <c r="Y388" s="334"/>
      <c r="Z388" s="334"/>
      <c r="AA388" s="334"/>
    </row>
    <row r="389" spans="1:51" ht="47.25" hidden="1">
      <c r="A389" s="334" t="s">
        <v>24</v>
      </c>
      <c r="B389" s="408" t="s">
        <v>195</v>
      </c>
      <c r="C389" s="409" t="s">
        <v>1076</v>
      </c>
      <c r="D389" s="409" t="s">
        <v>1082</v>
      </c>
      <c r="E389" s="348" t="s">
        <v>1083</v>
      </c>
      <c r="F389" s="334" t="s">
        <v>2676</v>
      </c>
      <c r="G389" s="409" t="s">
        <v>62</v>
      </c>
      <c r="H389" s="409" t="s">
        <v>1084</v>
      </c>
      <c r="I389" s="419">
        <v>1</v>
      </c>
      <c r="J389" s="334" t="s">
        <v>8</v>
      </c>
      <c r="K389" s="334"/>
      <c r="L389" s="344"/>
      <c r="M389" s="334"/>
      <c r="N389" s="334"/>
      <c r="O389" s="345"/>
      <c r="P389" s="334" t="s">
        <v>2902</v>
      </c>
      <c r="Q389" s="340"/>
      <c r="R389" s="349"/>
      <c r="S389" s="334"/>
      <c r="T389" s="334"/>
      <c r="U389" s="334"/>
      <c r="V389" s="334"/>
      <c r="W389" s="334"/>
      <c r="X389" s="334"/>
      <c r="Y389" s="334"/>
      <c r="Z389" s="334"/>
      <c r="AA389" s="334"/>
    </row>
    <row r="390" spans="1:51" ht="63" hidden="1">
      <c r="A390" s="334" t="s">
        <v>24</v>
      </c>
      <c r="B390" s="408" t="s">
        <v>195</v>
      </c>
      <c r="C390" s="409" t="s">
        <v>1076</v>
      </c>
      <c r="D390" s="409" t="s">
        <v>1085</v>
      </c>
      <c r="E390" s="409" t="s">
        <v>1086</v>
      </c>
      <c r="F390" s="336"/>
      <c r="G390" s="418" t="s">
        <v>62</v>
      </c>
      <c r="H390" s="418"/>
      <c r="I390" s="418"/>
      <c r="J390" s="336"/>
      <c r="K390" s="336"/>
      <c r="L390" s="338"/>
      <c r="M390" s="336"/>
      <c r="N390" s="336"/>
      <c r="O390" s="339"/>
      <c r="P390" s="336"/>
      <c r="Q390" s="340"/>
      <c r="R390" s="341"/>
      <c r="S390" s="336"/>
      <c r="T390" s="336"/>
      <c r="U390" s="336"/>
      <c r="V390" s="336"/>
      <c r="W390" s="336"/>
      <c r="X390" s="336"/>
      <c r="Y390" s="336"/>
      <c r="Z390" s="336"/>
      <c r="AA390" s="334"/>
    </row>
    <row r="391" spans="1:51" ht="67.900000000000006" hidden="1" customHeight="1">
      <c r="A391" s="334" t="s">
        <v>24</v>
      </c>
      <c r="B391" s="408" t="s">
        <v>195</v>
      </c>
      <c r="C391" s="409" t="s">
        <v>1076</v>
      </c>
      <c r="D391" s="409" t="s">
        <v>1087</v>
      </c>
      <c r="E391" s="409" t="s">
        <v>1088</v>
      </c>
      <c r="F391" s="334" t="s">
        <v>2676</v>
      </c>
      <c r="G391" s="409" t="s">
        <v>62</v>
      </c>
      <c r="H391" s="409" t="s">
        <v>1089</v>
      </c>
      <c r="I391" s="409" t="s">
        <v>1090</v>
      </c>
      <c r="J391" s="334" t="s">
        <v>8</v>
      </c>
      <c r="K391" s="334"/>
      <c r="L391" s="344"/>
      <c r="M391" s="334"/>
      <c r="N391" s="334"/>
      <c r="O391" s="345"/>
      <c r="P391" s="334" t="s">
        <v>2902</v>
      </c>
      <c r="Q391" s="340"/>
      <c r="R391" s="349"/>
      <c r="S391" s="334"/>
      <c r="T391" s="334"/>
      <c r="U391" s="334"/>
      <c r="V391" s="334"/>
      <c r="W391" s="334"/>
      <c r="X391" s="334"/>
      <c r="Y391" s="334"/>
      <c r="Z391" s="334"/>
      <c r="AA391" s="334"/>
    </row>
    <row r="392" spans="1:51" ht="267.75" hidden="1">
      <c r="A392" s="334" t="s">
        <v>24</v>
      </c>
      <c r="B392" s="408" t="s">
        <v>195</v>
      </c>
      <c r="C392" s="409" t="s">
        <v>1076</v>
      </c>
      <c r="D392" s="409" t="s">
        <v>1091</v>
      </c>
      <c r="E392" s="348" t="s">
        <v>1092</v>
      </c>
      <c r="F392" s="334" t="s">
        <v>2676</v>
      </c>
      <c r="G392" s="409" t="s">
        <v>62</v>
      </c>
      <c r="H392" s="409" t="s">
        <v>1089</v>
      </c>
      <c r="I392" s="409" t="s">
        <v>1090</v>
      </c>
      <c r="J392" s="334" t="s">
        <v>1191</v>
      </c>
      <c r="K392" s="334" t="s">
        <v>2922</v>
      </c>
      <c r="L392" s="344"/>
      <c r="M392" s="334"/>
      <c r="N392" s="334"/>
      <c r="O392" s="345"/>
      <c r="P392" s="334" t="s">
        <v>2902</v>
      </c>
      <c r="Q392" s="340"/>
      <c r="R392" s="349"/>
      <c r="S392" s="334"/>
      <c r="T392" s="334"/>
      <c r="U392" s="334"/>
      <c r="V392" s="334"/>
      <c r="W392" s="334"/>
      <c r="X392" s="334"/>
      <c r="Y392" s="334"/>
      <c r="Z392" s="334"/>
      <c r="AA392" s="334"/>
    </row>
    <row r="393" spans="1:51" ht="78.75" hidden="1">
      <c r="A393" s="334" t="s">
        <v>24</v>
      </c>
      <c r="B393" s="408" t="s">
        <v>195</v>
      </c>
      <c r="C393" s="409" t="s">
        <v>1076</v>
      </c>
      <c r="D393" s="409" t="s">
        <v>1093</v>
      </c>
      <c r="E393" s="348" t="s">
        <v>1094</v>
      </c>
      <c r="F393" s="334" t="s">
        <v>2666</v>
      </c>
      <c r="G393" s="409" t="s">
        <v>62</v>
      </c>
      <c r="H393" s="409" t="s">
        <v>1095</v>
      </c>
      <c r="I393" s="409" t="s">
        <v>1096</v>
      </c>
      <c r="J393" s="334" t="s">
        <v>8</v>
      </c>
      <c r="K393" s="334" t="s">
        <v>2923</v>
      </c>
      <c r="L393" s="344"/>
      <c r="M393" s="334"/>
      <c r="N393" s="334"/>
      <c r="O393" s="345"/>
      <c r="P393" s="334" t="s">
        <v>2902</v>
      </c>
      <c r="Q393" s="340"/>
      <c r="R393" s="349"/>
      <c r="S393" s="334"/>
      <c r="T393" s="334"/>
      <c r="U393" s="334"/>
      <c r="V393" s="334"/>
      <c r="W393" s="334"/>
      <c r="X393" s="334"/>
      <c r="Y393" s="334"/>
      <c r="Z393" s="334"/>
      <c r="AA393" s="334"/>
    </row>
    <row r="394" spans="1:51" ht="409.5" hidden="1">
      <c r="A394" s="334" t="s">
        <v>24</v>
      </c>
      <c r="B394" s="408" t="s">
        <v>195</v>
      </c>
      <c r="C394" s="409" t="s">
        <v>1076</v>
      </c>
      <c r="D394" s="409" t="s">
        <v>1097</v>
      </c>
      <c r="E394" s="348" t="s">
        <v>1098</v>
      </c>
      <c r="F394" s="334" t="s">
        <v>2666</v>
      </c>
      <c r="G394" s="409" t="s">
        <v>62</v>
      </c>
      <c r="H394" s="409" t="s">
        <v>1099</v>
      </c>
      <c r="I394" s="419">
        <v>1</v>
      </c>
      <c r="J394" s="334" t="s">
        <v>1191</v>
      </c>
      <c r="K394" s="334" t="s">
        <v>2924</v>
      </c>
      <c r="L394" s="344"/>
      <c r="M394" s="334"/>
      <c r="N394" s="334"/>
      <c r="O394" s="345"/>
      <c r="P394" s="334"/>
      <c r="Q394" s="340"/>
      <c r="R394" s="349"/>
      <c r="S394" s="334"/>
      <c r="T394" s="334"/>
      <c r="U394" s="334"/>
      <c r="V394" s="334"/>
      <c r="W394" s="334"/>
      <c r="X394" s="334"/>
      <c r="Y394" s="334"/>
      <c r="Z394" s="334"/>
      <c r="AA394" s="334"/>
    </row>
    <row r="395" spans="1:51" ht="189" hidden="1">
      <c r="A395" s="334" t="s">
        <v>24</v>
      </c>
      <c r="B395" s="408" t="s">
        <v>195</v>
      </c>
      <c r="C395" s="409" t="s">
        <v>1076</v>
      </c>
      <c r="D395" s="409" t="s">
        <v>1100</v>
      </c>
      <c r="E395" s="409" t="s">
        <v>1101</v>
      </c>
      <c r="F395" s="334" t="s">
        <v>2757</v>
      </c>
      <c r="G395" s="409" t="s">
        <v>58</v>
      </c>
      <c r="H395" s="409" t="s">
        <v>1102</v>
      </c>
      <c r="I395" s="419">
        <v>0.7</v>
      </c>
      <c r="J395" s="334" t="s">
        <v>1191</v>
      </c>
      <c r="K395" s="334" t="s">
        <v>2925</v>
      </c>
      <c r="L395" s="344"/>
      <c r="M395" s="334"/>
      <c r="N395" s="334"/>
      <c r="O395" s="345"/>
      <c r="P395" s="334"/>
      <c r="Q395" s="340"/>
      <c r="R395" s="349"/>
      <c r="S395" s="334"/>
      <c r="T395" s="334"/>
      <c r="U395" s="334"/>
      <c r="V395" s="334"/>
      <c r="W395" s="334"/>
      <c r="X395" s="334"/>
      <c r="Y395" s="334"/>
      <c r="Z395" s="334"/>
      <c r="AA395" s="334"/>
    </row>
    <row r="396" spans="1:51" ht="84" hidden="1" customHeight="1">
      <c r="A396" s="334" t="s">
        <v>24</v>
      </c>
      <c r="B396" s="408" t="s">
        <v>195</v>
      </c>
      <c r="C396" s="409" t="s">
        <v>1103</v>
      </c>
      <c r="D396" s="409" t="s">
        <v>1104</v>
      </c>
      <c r="E396" s="409" t="s">
        <v>1105</v>
      </c>
      <c r="F396" s="334" t="s">
        <v>2658</v>
      </c>
      <c r="G396" s="409" t="s">
        <v>62</v>
      </c>
      <c r="H396" s="409" t="s">
        <v>1106</v>
      </c>
      <c r="I396" s="419">
        <v>1</v>
      </c>
      <c r="J396" s="334" t="s">
        <v>1191</v>
      </c>
      <c r="K396" s="334" t="s">
        <v>2926</v>
      </c>
      <c r="L396" s="344"/>
      <c r="M396" s="334"/>
      <c r="N396" s="334"/>
      <c r="O396" s="345"/>
      <c r="P396" s="334"/>
      <c r="Q396" s="340"/>
      <c r="R396" s="349"/>
      <c r="S396" s="334"/>
      <c r="T396" s="334"/>
      <c r="U396" s="334"/>
      <c r="V396" s="334"/>
      <c r="W396" s="334"/>
      <c r="X396" s="334"/>
      <c r="Y396" s="334"/>
      <c r="Z396" s="334"/>
      <c r="AA396" s="334"/>
    </row>
    <row r="397" spans="1:51" ht="45.6" hidden="1" customHeight="1">
      <c r="A397" s="334" t="s">
        <v>24</v>
      </c>
      <c r="B397" s="408" t="s">
        <v>195</v>
      </c>
      <c r="C397" s="409" t="s">
        <v>1107</v>
      </c>
      <c r="D397" s="409" t="s">
        <v>1108</v>
      </c>
      <c r="E397" s="409" t="s">
        <v>1109</v>
      </c>
      <c r="F397" s="334" t="s">
        <v>2658</v>
      </c>
      <c r="G397" s="409" t="s">
        <v>62</v>
      </c>
      <c r="H397" s="409" t="s">
        <v>1110</v>
      </c>
      <c r="I397" s="419">
        <v>1</v>
      </c>
      <c r="J397" s="334" t="s">
        <v>8</v>
      </c>
      <c r="K397" s="334"/>
      <c r="L397" s="344"/>
      <c r="M397" s="334"/>
      <c r="N397" s="334"/>
      <c r="O397" s="345"/>
      <c r="P397" s="334" t="s">
        <v>2902</v>
      </c>
      <c r="Q397" s="340"/>
      <c r="R397" s="349"/>
      <c r="S397" s="334"/>
      <c r="T397" s="334"/>
      <c r="U397" s="334"/>
      <c r="V397" s="334"/>
      <c r="W397" s="334"/>
      <c r="X397" s="334"/>
      <c r="Y397" s="334"/>
      <c r="Z397" s="334"/>
      <c r="AA397" s="334"/>
    </row>
    <row r="398" spans="1:51" ht="46.9" hidden="1" customHeight="1">
      <c r="A398" s="334" t="s">
        <v>24</v>
      </c>
      <c r="B398" s="408" t="s">
        <v>195</v>
      </c>
      <c r="C398" s="409" t="s">
        <v>1111</v>
      </c>
      <c r="D398" s="409" t="s">
        <v>1112</v>
      </c>
      <c r="E398" s="409" t="s">
        <v>1113</v>
      </c>
      <c r="F398" s="334" t="s">
        <v>2658</v>
      </c>
      <c r="G398" s="409" t="s">
        <v>62</v>
      </c>
      <c r="H398" s="409" t="s">
        <v>1114</v>
      </c>
      <c r="I398" s="419">
        <v>1</v>
      </c>
      <c r="J398" s="334" t="s">
        <v>8</v>
      </c>
      <c r="K398" s="334"/>
      <c r="L398" s="344"/>
      <c r="M398" s="334"/>
      <c r="N398" s="334"/>
      <c r="O398" s="345"/>
      <c r="P398" s="334" t="s">
        <v>2902</v>
      </c>
      <c r="Q398" s="340"/>
      <c r="R398" s="349"/>
      <c r="S398" s="334"/>
      <c r="T398" s="334"/>
      <c r="U398" s="334"/>
      <c r="V398" s="334"/>
      <c r="W398" s="334"/>
      <c r="X398" s="334"/>
      <c r="Y398" s="334"/>
      <c r="Z398" s="334"/>
      <c r="AA398" s="334"/>
    </row>
    <row r="399" spans="1:51" ht="195.75" hidden="1" customHeight="1">
      <c r="A399" s="334" t="s">
        <v>24</v>
      </c>
      <c r="B399" s="408" t="s">
        <v>195</v>
      </c>
      <c r="C399" s="409" t="s">
        <v>1111</v>
      </c>
      <c r="D399" s="409" t="s">
        <v>1115</v>
      </c>
      <c r="E399" s="409" t="s">
        <v>1116</v>
      </c>
      <c r="F399" s="334" t="s">
        <v>2658</v>
      </c>
      <c r="G399" s="409" t="s">
        <v>62</v>
      </c>
      <c r="H399" s="409" t="s">
        <v>1117</v>
      </c>
      <c r="I399" s="409" t="s">
        <v>671</v>
      </c>
      <c r="J399" s="334" t="s">
        <v>8</v>
      </c>
      <c r="K399" s="334"/>
      <c r="L399" s="344"/>
      <c r="M399" s="334"/>
      <c r="N399" s="334"/>
      <c r="O399" s="345"/>
      <c r="P399" s="334" t="s">
        <v>2902</v>
      </c>
      <c r="Q399" s="340"/>
      <c r="R399" s="349"/>
      <c r="S399" s="334"/>
      <c r="T399" s="334"/>
      <c r="U399" s="334"/>
      <c r="V399" s="334"/>
      <c r="W399" s="334"/>
      <c r="X399" s="334"/>
      <c r="Y399" s="334"/>
      <c r="Z399" s="334"/>
      <c r="AA399" s="334"/>
    </row>
    <row r="400" spans="1:51" s="392" customFormat="1" ht="47.25" hidden="1">
      <c r="A400" s="336" t="s">
        <v>24</v>
      </c>
      <c r="B400" s="410" t="s">
        <v>274</v>
      </c>
      <c r="C400" s="418" t="s">
        <v>1118</v>
      </c>
      <c r="D400" s="336" t="s">
        <v>582</v>
      </c>
      <c r="E400" s="418" t="s">
        <v>582</v>
      </c>
      <c r="F400" s="418" t="s">
        <v>582</v>
      </c>
      <c r="G400" s="336" t="s">
        <v>582</v>
      </c>
      <c r="H400" s="336" t="s">
        <v>582</v>
      </c>
      <c r="I400" s="336" t="s">
        <v>582</v>
      </c>
      <c r="J400" s="336" t="s">
        <v>582</v>
      </c>
      <c r="K400" s="336" t="s">
        <v>582</v>
      </c>
      <c r="L400" s="336" t="s">
        <v>582</v>
      </c>
      <c r="M400" s="336" t="s">
        <v>582</v>
      </c>
      <c r="N400" s="336" t="s">
        <v>582</v>
      </c>
      <c r="O400" s="336" t="s">
        <v>582</v>
      </c>
      <c r="P400" s="336" t="s">
        <v>582</v>
      </c>
      <c r="Q400" s="391"/>
      <c r="R400" s="341" t="s">
        <v>582</v>
      </c>
      <c r="S400" s="336" t="s">
        <v>582</v>
      </c>
      <c r="T400" s="336" t="s">
        <v>582</v>
      </c>
      <c r="U400" s="336"/>
      <c r="V400" s="336" t="s">
        <v>582</v>
      </c>
      <c r="W400" s="336" t="s">
        <v>582</v>
      </c>
      <c r="X400" s="336" t="s">
        <v>582</v>
      </c>
      <c r="Y400" s="336" t="s">
        <v>582</v>
      </c>
      <c r="Z400" s="336" t="s">
        <v>582</v>
      </c>
      <c r="AA400" s="336" t="s">
        <v>582</v>
      </c>
      <c r="AB400" s="327"/>
      <c r="AC400" s="327"/>
      <c r="AD400" s="327"/>
      <c r="AE400" s="327"/>
      <c r="AF400" s="327"/>
      <c r="AG400" s="327"/>
      <c r="AH400" s="327"/>
      <c r="AI400" s="327"/>
      <c r="AJ400" s="327"/>
      <c r="AK400" s="327"/>
      <c r="AL400" s="327"/>
      <c r="AM400" s="327"/>
      <c r="AN400" s="327"/>
      <c r="AO400" s="327"/>
      <c r="AP400" s="327"/>
      <c r="AQ400" s="327"/>
      <c r="AR400" s="327"/>
      <c r="AS400" s="327"/>
      <c r="AT400" s="327"/>
      <c r="AU400" s="327"/>
      <c r="AV400" s="327"/>
      <c r="AW400" s="327"/>
      <c r="AX400" s="327"/>
      <c r="AY400" s="327"/>
    </row>
    <row r="401" spans="1:51" s="392" customFormat="1" ht="63" hidden="1" customHeight="1">
      <c r="A401" s="336" t="s">
        <v>24</v>
      </c>
      <c r="B401" s="410" t="s">
        <v>274</v>
      </c>
      <c r="C401" s="418" t="s">
        <v>1119</v>
      </c>
      <c r="D401" s="336" t="s">
        <v>582</v>
      </c>
      <c r="E401" s="418" t="s">
        <v>582</v>
      </c>
      <c r="F401" s="418" t="s">
        <v>582</v>
      </c>
      <c r="G401" s="336" t="s">
        <v>582</v>
      </c>
      <c r="H401" s="336" t="s">
        <v>582</v>
      </c>
      <c r="I401" s="336" t="s">
        <v>582</v>
      </c>
      <c r="J401" s="336" t="s">
        <v>582</v>
      </c>
      <c r="K401" s="336" t="s">
        <v>582</v>
      </c>
      <c r="L401" s="336" t="s">
        <v>582</v>
      </c>
      <c r="M401" s="336" t="s">
        <v>582</v>
      </c>
      <c r="N401" s="336" t="s">
        <v>582</v>
      </c>
      <c r="O401" s="336" t="s">
        <v>582</v>
      </c>
      <c r="P401" s="336" t="s">
        <v>582</v>
      </c>
      <c r="Q401" s="391"/>
      <c r="R401" s="341" t="s">
        <v>582</v>
      </c>
      <c r="S401" s="336" t="s">
        <v>582</v>
      </c>
      <c r="T401" s="336" t="s">
        <v>582</v>
      </c>
      <c r="U401" s="336"/>
      <c r="V401" s="336" t="s">
        <v>582</v>
      </c>
      <c r="W401" s="336" t="s">
        <v>582</v>
      </c>
      <c r="X401" s="336" t="s">
        <v>582</v>
      </c>
      <c r="Y401" s="336" t="s">
        <v>582</v>
      </c>
      <c r="Z401" s="336" t="s">
        <v>582</v>
      </c>
      <c r="AA401" s="336" t="s">
        <v>582</v>
      </c>
      <c r="AB401" s="327"/>
      <c r="AC401" s="327"/>
      <c r="AD401" s="327"/>
      <c r="AE401" s="327"/>
      <c r="AF401" s="327"/>
      <c r="AG401" s="327"/>
      <c r="AH401" s="327"/>
      <c r="AI401" s="327"/>
      <c r="AJ401" s="327"/>
      <c r="AK401" s="327"/>
      <c r="AL401" s="327"/>
      <c r="AM401" s="327"/>
      <c r="AN401" s="327"/>
      <c r="AO401" s="327"/>
      <c r="AP401" s="327"/>
      <c r="AQ401" s="327"/>
      <c r="AR401" s="327"/>
      <c r="AS401" s="327"/>
      <c r="AT401" s="327"/>
      <c r="AU401" s="327"/>
      <c r="AV401" s="327"/>
      <c r="AW401" s="327"/>
      <c r="AX401" s="327"/>
      <c r="AY401" s="327"/>
    </row>
    <row r="402" spans="1:51" s="392" customFormat="1" ht="47.25" hidden="1">
      <c r="A402" s="336" t="s">
        <v>24</v>
      </c>
      <c r="B402" s="410" t="s">
        <v>274</v>
      </c>
      <c r="C402" s="418" t="s">
        <v>1120</v>
      </c>
      <c r="D402" s="336" t="s">
        <v>582</v>
      </c>
      <c r="E402" s="418" t="s">
        <v>582</v>
      </c>
      <c r="F402" s="418" t="s">
        <v>582</v>
      </c>
      <c r="G402" s="336" t="s">
        <v>582</v>
      </c>
      <c r="H402" s="336" t="s">
        <v>582</v>
      </c>
      <c r="I402" s="336" t="s">
        <v>582</v>
      </c>
      <c r="J402" s="336" t="s">
        <v>582</v>
      </c>
      <c r="K402" s="336" t="s">
        <v>582</v>
      </c>
      <c r="L402" s="336" t="s">
        <v>582</v>
      </c>
      <c r="M402" s="336" t="s">
        <v>582</v>
      </c>
      <c r="N402" s="336" t="s">
        <v>582</v>
      </c>
      <c r="O402" s="336" t="s">
        <v>582</v>
      </c>
      <c r="P402" s="336" t="s">
        <v>582</v>
      </c>
      <c r="Q402" s="391"/>
      <c r="R402" s="341" t="s">
        <v>582</v>
      </c>
      <c r="S402" s="336" t="s">
        <v>582</v>
      </c>
      <c r="T402" s="336" t="s">
        <v>582</v>
      </c>
      <c r="U402" s="336"/>
      <c r="V402" s="336" t="s">
        <v>582</v>
      </c>
      <c r="W402" s="336" t="s">
        <v>582</v>
      </c>
      <c r="X402" s="336" t="s">
        <v>582</v>
      </c>
      <c r="Y402" s="336" t="s">
        <v>582</v>
      </c>
      <c r="Z402" s="336" t="s">
        <v>582</v>
      </c>
      <c r="AA402" s="336" t="s">
        <v>582</v>
      </c>
      <c r="AB402" s="327"/>
      <c r="AC402" s="327"/>
      <c r="AD402" s="327"/>
      <c r="AE402" s="327"/>
      <c r="AF402" s="327"/>
      <c r="AG402" s="327"/>
      <c r="AH402" s="327"/>
      <c r="AI402" s="327"/>
      <c r="AJ402" s="327"/>
      <c r="AK402" s="327"/>
      <c r="AL402" s="327"/>
      <c r="AM402" s="327"/>
      <c r="AN402" s="327"/>
      <c r="AO402" s="327"/>
      <c r="AP402" s="327"/>
      <c r="AQ402" s="327"/>
      <c r="AR402" s="327"/>
      <c r="AS402" s="327"/>
      <c r="AT402" s="327"/>
      <c r="AU402" s="327"/>
      <c r="AV402" s="327"/>
      <c r="AW402" s="327"/>
      <c r="AX402" s="327"/>
      <c r="AY402" s="327"/>
    </row>
    <row r="403" spans="1:51" ht="34.9" hidden="1" customHeight="1">
      <c r="A403" s="334" t="s">
        <v>24</v>
      </c>
      <c r="B403" s="408" t="s">
        <v>274</v>
      </c>
      <c r="C403" s="409" t="s">
        <v>1121</v>
      </c>
      <c r="D403" s="409" t="s">
        <v>1122</v>
      </c>
      <c r="E403" s="409" t="s">
        <v>1123</v>
      </c>
      <c r="F403" s="334" t="s">
        <v>2763</v>
      </c>
      <c r="G403" s="409" t="s">
        <v>62</v>
      </c>
      <c r="H403" s="409" t="s">
        <v>1124</v>
      </c>
      <c r="I403" s="419">
        <v>1</v>
      </c>
      <c r="J403" s="334" t="s">
        <v>1090</v>
      </c>
      <c r="K403" s="334" t="s">
        <v>2927</v>
      </c>
      <c r="L403" s="344"/>
      <c r="M403" s="334"/>
      <c r="N403" s="334"/>
      <c r="O403" s="345"/>
      <c r="P403" s="334"/>
      <c r="Q403" s="340"/>
      <c r="R403" s="349"/>
      <c r="S403" s="334"/>
      <c r="T403" s="334"/>
      <c r="U403" s="334"/>
      <c r="V403" s="334"/>
      <c r="W403" s="334"/>
      <c r="X403" s="334"/>
      <c r="Y403" s="334"/>
      <c r="Z403" s="334"/>
      <c r="AA403" s="334"/>
    </row>
    <row r="404" spans="1:51" ht="61.9" hidden="1" customHeight="1">
      <c r="A404" s="334" t="s">
        <v>24</v>
      </c>
      <c r="B404" s="408" t="s">
        <v>274</v>
      </c>
      <c r="C404" s="409" t="s">
        <v>1121</v>
      </c>
      <c r="D404" s="409" t="s">
        <v>1125</v>
      </c>
      <c r="E404" s="409" t="s">
        <v>1126</v>
      </c>
      <c r="F404" s="334" t="s">
        <v>2666</v>
      </c>
      <c r="G404" s="409" t="s">
        <v>62</v>
      </c>
      <c r="H404" s="409" t="s">
        <v>1127</v>
      </c>
      <c r="I404" s="419">
        <v>1</v>
      </c>
      <c r="J404" s="334" t="s">
        <v>1090</v>
      </c>
      <c r="K404" s="334" t="s">
        <v>2845</v>
      </c>
      <c r="L404" s="344"/>
      <c r="M404" s="334"/>
      <c r="N404" s="334"/>
      <c r="O404" s="345"/>
      <c r="P404" s="334" t="s">
        <v>2928</v>
      </c>
      <c r="Q404" s="340"/>
      <c r="R404" s="349"/>
      <c r="S404" s="334"/>
      <c r="T404" s="334"/>
      <c r="U404" s="334"/>
      <c r="V404" s="334"/>
      <c r="W404" s="334"/>
      <c r="X404" s="334"/>
      <c r="Y404" s="334"/>
      <c r="Z404" s="334"/>
      <c r="AA404" s="334"/>
    </row>
    <row r="405" spans="1:51" ht="78.75" hidden="1">
      <c r="A405" s="334" t="s">
        <v>24</v>
      </c>
      <c r="B405" s="408" t="s">
        <v>587</v>
      </c>
      <c r="C405" s="409" t="s">
        <v>1128</v>
      </c>
      <c r="D405" s="409" t="s">
        <v>1129</v>
      </c>
      <c r="E405" s="409" t="s">
        <v>1130</v>
      </c>
      <c r="F405" s="336"/>
      <c r="G405" s="418" t="s">
        <v>62</v>
      </c>
      <c r="H405" s="418" t="s">
        <v>591</v>
      </c>
      <c r="I405" s="420">
        <v>1</v>
      </c>
      <c r="J405" s="336"/>
      <c r="K405" s="336"/>
      <c r="L405" s="338"/>
      <c r="M405" s="336"/>
      <c r="N405" s="336"/>
      <c r="O405" s="339"/>
      <c r="P405" s="336"/>
      <c r="Q405" s="340"/>
      <c r="R405" s="341"/>
      <c r="S405" s="336"/>
      <c r="T405" s="336"/>
      <c r="U405" s="336"/>
      <c r="V405" s="336"/>
      <c r="W405" s="336"/>
      <c r="X405" s="336"/>
      <c r="Y405" s="336"/>
      <c r="Z405" s="336"/>
      <c r="AA405" s="334"/>
    </row>
    <row r="406" spans="1:51" ht="63" hidden="1">
      <c r="A406" s="334" t="s">
        <v>24</v>
      </c>
      <c r="B406" s="408" t="s">
        <v>587</v>
      </c>
      <c r="C406" s="409" t="s">
        <v>1128</v>
      </c>
      <c r="D406" s="409" t="s">
        <v>1131</v>
      </c>
      <c r="E406" s="348" t="s">
        <v>1132</v>
      </c>
      <c r="F406" s="334" t="s">
        <v>2676</v>
      </c>
      <c r="G406" s="409" t="s">
        <v>62</v>
      </c>
      <c r="H406" s="409" t="s">
        <v>591</v>
      </c>
      <c r="I406" s="419">
        <v>1</v>
      </c>
      <c r="J406" s="334" t="s">
        <v>8</v>
      </c>
      <c r="K406" s="334"/>
      <c r="L406" s="344"/>
      <c r="M406" s="334"/>
      <c r="N406" s="334"/>
      <c r="O406" s="345"/>
      <c r="P406" s="334" t="s">
        <v>2902</v>
      </c>
      <c r="Q406" s="340"/>
      <c r="R406" s="349"/>
      <c r="S406" s="334"/>
      <c r="T406" s="334"/>
      <c r="U406" s="334"/>
      <c r="V406" s="334"/>
      <c r="W406" s="334"/>
      <c r="X406" s="334"/>
      <c r="Y406" s="334"/>
      <c r="Z406" s="334"/>
      <c r="AA406" s="334"/>
    </row>
    <row r="407" spans="1:51" ht="63" hidden="1">
      <c r="A407" s="334" t="s">
        <v>24</v>
      </c>
      <c r="B407" s="408" t="s">
        <v>587</v>
      </c>
      <c r="C407" s="409" t="s">
        <v>1128</v>
      </c>
      <c r="D407" s="409" t="s">
        <v>1133</v>
      </c>
      <c r="E407" s="348" t="s">
        <v>1134</v>
      </c>
      <c r="F407" s="334" t="s">
        <v>2676</v>
      </c>
      <c r="G407" s="409" t="s">
        <v>62</v>
      </c>
      <c r="H407" s="409" t="s">
        <v>591</v>
      </c>
      <c r="I407" s="419">
        <v>2</v>
      </c>
      <c r="J407" s="334" t="s">
        <v>8</v>
      </c>
      <c r="K407" s="334"/>
      <c r="L407" s="344"/>
      <c r="M407" s="334"/>
      <c r="N407" s="334"/>
      <c r="O407" s="345"/>
      <c r="P407" s="334" t="s">
        <v>2902</v>
      </c>
      <c r="Q407" s="340"/>
      <c r="R407" s="349"/>
      <c r="S407" s="334"/>
      <c r="T407" s="334"/>
      <c r="U407" s="334"/>
      <c r="V407" s="334"/>
      <c r="W407" s="334"/>
      <c r="X407" s="334"/>
      <c r="Y407" s="334"/>
      <c r="Z407" s="334"/>
      <c r="AA407" s="334"/>
    </row>
    <row r="408" spans="1:51" ht="63" hidden="1">
      <c r="A408" s="334" t="s">
        <v>24</v>
      </c>
      <c r="B408" s="408" t="s">
        <v>587</v>
      </c>
      <c r="C408" s="409" t="s">
        <v>1128</v>
      </c>
      <c r="D408" s="409" t="s">
        <v>1135</v>
      </c>
      <c r="E408" s="348" t="s">
        <v>1136</v>
      </c>
      <c r="F408" s="334" t="s">
        <v>2666</v>
      </c>
      <c r="G408" s="409" t="s">
        <v>62</v>
      </c>
      <c r="H408" s="409" t="s">
        <v>591</v>
      </c>
      <c r="I408" s="419">
        <v>3</v>
      </c>
      <c r="J408" s="334" t="s">
        <v>8</v>
      </c>
      <c r="K408" s="334"/>
      <c r="L408" s="344"/>
      <c r="M408" s="334"/>
      <c r="N408" s="334"/>
      <c r="O408" s="345"/>
      <c r="P408" s="334" t="s">
        <v>2902</v>
      </c>
      <c r="Q408" s="340"/>
      <c r="R408" s="349"/>
      <c r="S408" s="334"/>
      <c r="T408" s="334"/>
      <c r="U408" s="334"/>
      <c r="V408" s="334"/>
      <c r="W408" s="334"/>
      <c r="X408" s="334"/>
      <c r="Y408" s="334"/>
      <c r="Z408" s="334"/>
      <c r="AA408" s="334"/>
    </row>
    <row r="409" spans="1:51" ht="63" hidden="1">
      <c r="A409" s="334" t="s">
        <v>24</v>
      </c>
      <c r="B409" s="408" t="s">
        <v>587</v>
      </c>
      <c r="C409" s="409" t="s">
        <v>1128</v>
      </c>
      <c r="D409" s="409" t="s">
        <v>1137</v>
      </c>
      <c r="E409" s="348" t="s">
        <v>1138</v>
      </c>
      <c r="F409" s="334" t="s">
        <v>2666</v>
      </c>
      <c r="G409" s="409" t="s">
        <v>62</v>
      </c>
      <c r="H409" s="409" t="s">
        <v>591</v>
      </c>
      <c r="I409" s="419">
        <v>4</v>
      </c>
      <c r="J409" s="334" t="s">
        <v>8</v>
      </c>
      <c r="K409" s="334"/>
      <c r="L409" s="344"/>
      <c r="M409" s="334"/>
      <c r="N409" s="334"/>
      <c r="O409" s="345"/>
      <c r="P409" s="334" t="s">
        <v>2902</v>
      </c>
      <c r="Q409" s="340"/>
      <c r="R409" s="349"/>
      <c r="S409" s="334"/>
      <c r="T409" s="334"/>
      <c r="U409" s="334"/>
      <c r="V409" s="334"/>
      <c r="W409" s="334"/>
      <c r="X409" s="334"/>
      <c r="Y409" s="334"/>
      <c r="Z409" s="334"/>
      <c r="AA409" s="334"/>
    </row>
    <row r="410" spans="1:51" ht="63" hidden="1">
      <c r="A410" s="334" t="s">
        <v>24</v>
      </c>
      <c r="B410" s="408" t="s">
        <v>587</v>
      </c>
      <c r="C410" s="409" t="s">
        <v>1128</v>
      </c>
      <c r="D410" s="409" t="s">
        <v>1139</v>
      </c>
      <c r="E410" s="348" t="s">
        <v>1140</v>
      </c>
      <c r="F410" s="334" t="s">
        <v>2666</v>
      </c>
      <c r="G410" s="409" t="s">
        <v>62</v>
      </c>
      <c r="H410" s="409" t="s">
        <v>591</v>
      </c>
      <c r="I410" s="419">
        <v>5</v>
      </c>
      <c r="J410" s="334" t="s">
        <v>8</v>
      </c>
      <c r="K410" s="334"/>
      <c r="L410" s="344"/>
      <c r="M410" s="334"/>
      <c r="N410" s="334"/>
      <c r="O410" s="345"/>
      <c r="P410" s="334" t="s">
        <v>2902</v>
      </c>
      <c r="Q410" s="340"/>
      <c r="R410" s="349"/>
      <c r="S410" s="334"/>
      <c r="T410" s="334"/>
      <c r="U410" s="334"/>
      <c r="V410" s="334"/>
      <c r="W410" s="334"/>
      <c r="X410" s="334"/>
      <c r="Y410" s="334"/>
      <c r="Z410" s="334"/>
      <c r="AA410" s="334"/>
    </row>
    <row r="411" spans="1:51" ht="159.75" hidden="1" customHeight="1">
      <c r="A411" s="334" t="s">
        <v>24</v>
      </c>
      <c r="B411" s="408" t="s">
        <v>587</v>
      </c>
      <c r="C411" s="409" t="s">
        <v>1128</v>
      </c>
      <c r="D411" s="409" t="s">
        <v>1141</v>
      </c>
      <c r="E411" s="409" t="s">
        <v>1142</v>
      </c>
      <c r="F411" s="334" t="s">
        <v>2676</v>
      </c>
      <c r="G411" s="409" t="s">
        <v>58</v>
      </c>
      <c r="H411" s="409" t="s">
        <v>1143</v>
      </c>
      <c r="I411" s="419">
        <v>1</v>
      </c>
      <c r="J411" s="334" t="s">
        <v>1191</v>
      </c>
      <c r="K411" s="334" t="s">
        <v>2929</v>
      </c>
      <c r="L411" s="344"/>
      <c r="M411" s="334"/>
      <c r="N411" s="334"/>
      <c r="O411" s="345"/>
      <c r="P411" s="334" t="s">
        <v>2930</v>
      </c>
      <c r="Q411" s="340"/>
      <c r="R411" s="349"/>
      <c r="S411" s="334"/>
      <c r="T411" s="334"/>
      <c r="U411" s="334"/>
      <c r="V411" s="334"/>
      <c r="W411" s="334"/>
      <c r="X411" s="334"/>
      <c r="Y411" s="334"/>
      <c r="Z411" s="334"/>
      <c r="AA411" s="334"/>
    </row>
    <row r="412" spans="1:51" ht="63" hidden="1">
      <c r="A412" s="334" t="s">
        <v>24</v>
      </c>
      <c r="B412" s="408" t="s">
        <v>587</v>
      </c>
      <c r="C412" s="409" t="s">
        <v>1144</v>
      </c>
      <c r="D412" s="409" t="s">
        <v>1145</v>
      </c>
      <c r="E412" s="409" t="s">
        <v>1146</v>
      </c>
      <c r="F412" s="334"/>
      <c r="G412" s="409" t="s">
        <v>1147</v>
      </c>
      <c r="H412" s="409" t="s">
        <v>735</v>
      </c>
      <c r="I412" s="419">
        <v>1</v>
      </c>
      <c r="J412" s="334"/>
      <c r="K412" s="334"/>
      <c r="L412" s="344"/>
      <c r="M412" s="334"/>
      <c r="N412" s="334"/>
      <c r="O412" s="345"/>
      <c r="P412" s="334"/>
      <c r="Q412" s="340"/>
      <c r="R412" s="349"/>
      <c r="S412" s="334"/>
      <c r="T412" s="334"/>
      <c r="U412" s="334"/>
      <c r="V412" s="334"/>
      <c r="W412" s="334"/>
      <c r="X412" s="334"/>
      <c r="Y412" s="334"/>
      <c r="Z412" s="334"/>
      <c r="AA412" s="334"/>
    </row>
    <row r="413" spans="1:51" ht="63" hidden="1">
      <c r="A413" s="334" t="s">
        <v>24</v>
      </c>
      <c r="B413" s="408" t="s">
        <v>587</v>
      </c>
      <c r="C413" s="409" t="s">
        <v>1144</v>
      </c>
      <c r="D413" s="409" t="s">
        <v>1148</v>
      </c>
      <c r="E413" s="409" t="s">
        <v>1146</v>
      </c>
      <c r="F413" s="334" t="s">
        <v>2676</v>
      </c>
      <c r="G413" s="409" t="s">
        <v>1149</v>
      </c>
      <c r="H413" s="409" t="s">
        <v>428</v>
      </c>
      <c r="I413" s="419">
        <v>1</v>
      </c>
      <c r="J413" s="334" t="s">
        <v>8</v>
      </c>
      <c r="K413" s="334"/>
      <c r="L413" s="344"/>
      <c r="M413" s="334"/>
      <c r="N413" s="334"/>
      <c r="O413" s="345"/>
      <c r="P413" s="334" t="s">
        <v>2902</v>
      </c>
      <c r="Q413" s="340"/>
      <c r="R413" s="349"/>
      <c r="S413" s="334"/>
      <c r="T413" s="334"/>
      <c r="U413" s="334"/>
      <c r="V413" s="334"/>
      <c r="W413" s="334"/>
      <c r="X413" s="334"/>
      <c r="Y413" s="334"/>
      <c r="Z413" s="334"/>
      <c r="AA413" s="334"/>
    </row>
    <row r="414" spans="1:51" s="392" customFormat="1" ht="78.75" hidden="1">
      <c r="A414" s="336" t="s">
        <v>24</v>
      </c>
      <c r="B414" s="410" t="s">
        <v>587</v>
      </c>
      <c r="C414" s="418" t="s">
        <v>1150</v>
      </c>
      <c r="D414" s="336" t="s">
        <v>582</v>
      </c>
      <c r="E414" s="418" t="s">
        <v>582</v>
      </c>
      <c r="F414" s="418" t="s">
        <v>582</v>
      </c>
      <c r="G414" s="336" t="s">
        <v>582</v>
      </c>
      <c r="H414" s="336" t="s">
        <v>582</v>
      </c>
      <c r="I414" s="336" t="s">
        <v>582</v>
      </c>
      <c r="J414" s="336" t="s">
        <v>582</v>
      </c>
      <c r="K414" s="336" t="s">
        <v>582</v>
      </c>
      <c r="L414" s="336" t="s">
        <v>582</v>
      </c>
      <c r="M414" s="336" t="s">
        <v>582</v>
      </c>
      <c r="N414" s="336" t="s">
        <v>582</v>
      </c>
      <c r="O414" s="336" t="s">
        <v>582</v>
      </c>
      <c r="P414" s="336" t="s">
        <v>582</v>
      </c>
      <c r="Q414" s="391"/>
      <c r="R414" s="341" t="s">
        <v>582</v>
      </c>
      <c r="S414" s="336" t="s">
        <v>582</v>
      </c>
      <c r="T414" s="336" t="s">
        <v>582</v>
      </c>
      <c r="U414" s="336"/>
      <c r="V414" s="336" t="s">
        <v>582</v>
      </c>
      <c r="W414" s="336" t="s">
        <v>582</v>
      </c>
      <c r="X414" s="336" t="s">
        <v>582</v>
      </c>
      <c r="Y414" s="336" t="s">
        <v>582</v>
      </c>
      <c r="Z414" s="336" t="s">
        <v>582</v>
      </c>
      <c r="AA414" s="336" t="s">
        <v>582</v>
      </c>
      <c r="AB414" s="327"/>
      <c r="AC414" s="327"/>
      <c r="AD414" s="327"/>
      <c r="AE414" s="327"/>
      <c r="AF414" s="327"/>
      <c r="AG414" s="327"/>
      <c r="AH414" s="327"/>
      <c r="AI414" s="327"/>
      <c r="AJ414" s="327"/>
      <c r="AK414" s="327"/>
      <c r="AL414" s="327"/>
      <c r="AM414" s="327"/>
      <c r="AN414" s="327"/>
      <c r="AO414" s="327"/>
      <c r="AP414" s="327"/>
      <c r="AQ414" s="327"/>
      <c r="AR414" s="327"/>
      <c r="AS414" s="327"/>
      <c r="AT414" s="327"/>
      <c r="AU414" s="327"/>
      <c r="AV414" s="327"/>
      <c r="AW414" s="327"/>
      <c r="AX414" s="327"/>
      <c r="AY414" s="327"/>
    </row>
    <row r="415" spans="1:51" ht="173.25" hidden="1">
      <c r="A415" s="334" t="s">
        <v>24</v>
      </c>
      <c r="B415" s="408" t="s">
        <v>587</v>
      </c>
      <c r="C415" s="409" t="s">
        <v>1151</v>
      </c>
      <c r="D415" s="409" t="s">
        <v>1152</v>
      </c>
      <c r="E415" s="409" t="s">
        <v>1153</v>
      </c>
      <c r="F415" s="334" t="s">
        <v>2676</v>
      </c>
      <c r="G415" s="409" t="s">
        <v>62</v>
      </c>
      <c r="H415" s="409" t="s">
        <v>1154</v>
      </c>
      <c r="I415" s="409" t="s">
        <v>1155</v>
      </c>
      <c r="J415" s="334" t="s">
        <v>1191</v>
      </c>
      <c r="K415" s="334" t="s">
        <v>2931</v>
      </c>
      <c r="L415" s="344"/>
      <c r="M415" s="334"/>
      <c r="N415" s="334"/>
      <c r="O415" s="345"/>
      <c r="P415" s="334"/>
      <c r="Q415" s="340"/>
      <c r="R415" s="349"/>
      <c r="S415" s="334"/>
      <c r="T415" s="334"/>
      <c r="U415" s="334"/>
      <c r="V415" s="334"/>
      <c r="W415" s="334"/>
      <c r="X415" s="334"/>
      <c r="Y415" s="334"/>
      <c r="Z415" s="334"/>
      <c r="AA415" s="334"/>
    </row>
    <row r="416" spans="1:51" hidden="1">
      <c r="A416" s="430" t="s">
        <v>1156</v>
      </c>
      <c r="B416" s="431"/>
      <c r="C416" s="432"/>
      <c r="D416" s="432"/>
      <c r="E416" s="432"/>
      <c r="F416" s="433"/>
      <c r="G416" s="432"/>
      <c r="H416" s="432"/>
      <c r="I416" s="432"/>
      <c r="J416" s="433"/>
      <c r="K416" s="433"/>
      <c r="L416" s="433"/>
      <c r="M416" s="433"/>
      <c r="N416" s="433"/>
      <c r="O416" s="433"/>
      <c r="P416" s="434"/>
      <c r="Q416" s="435"/>
      <c r="R416" s="436"/>
      <c r="S416" s="433"/>
      <c r="T416" s="433"/>
      <c r="U416" s="433"/>
      <c r="V416" s="433"/>
      <c r="W416" s="433"/>
      <c r="X416" s="433"/>
      <c r="Y416" s="433"/>
      <c r="Z416" s="433"/>
      <c r="AA416" s="433"/>
    </row>
    <row r="417" spans="1:51" ht="33.6" hidden="1" customHeight="1">
      <c r="A417" s="409" t="s">
        <v>26</v>
      </c>
      <c r="B417" s="408" t="s">
        <v>54</v>
      </c>
      <c r="C417" s="409" t="s">
        <v>1157</v>
      </c>
      <c r="D417" s="409" t="s">
        <v>1158</v>
      </c>
      <c r="E417" s="409" t="s">
        <v>1159</v>
      </c>
      <c r="F417" s="334" t="s">
        <v>2666</v>
      </c>
      <c r="G417" s="409" t="s">
        <v>62</v>
      </c>
      <c r="H417" s="409" t="s">
        <v>1160</v>
      </c>
      <c r="I417" s="419">
        <v>0.5</v>
      </c>
      <c r="J417" s="334" t="s">
        <v>8</v>
      </c>
      <c r="K417" s="334"/>
      <c r="L417" s="344"/>
      <c r="M417" s="334"/>
      <c r="N417" s="334"/>
      <c r="O417" s="345"/>
      <c r="P417" s="334" t="s">
        <v>2902</v>
      </c>
      <c r="Q417" s="340"/>
      <c r="R417" s="349"/>
      <c r="S417" s="334"/>
      <c r="T417" s="334"/>
      <c r="U417" s="334"/>
      <c r="V417" s="334"/>
      <c r="W417" s="334"/>
      <c r="X417" s="334"/>
      <c r="Y417" s="334"/>
      <c r="Z417" s="334"/>
      <c r="AA417" s="334"/>
    </row>
    <row r="418" spans="1:51" ht="68.25" hidden="1" customHeight="1">
      <c r="A418" s="409" t="s">
        <v>26</v>
      </c>
      <c r="B418" s="408" t="s">
        <v>54</v>
      </c>
      <c r="C418" s="409" t="s">
        <v>1161</v>
      </c>
      <c r="D418" s="409" t="s">
        <v>1162</v>
      </c>
      <c r="E418" s="409" t="s">
        <v>1163</v>
      </c>
      <c r="F418" s="334" t="s">
        <v>2666</v>
      </c>
      <c r="G418" s="409" t="s">
        <v>62</v>
      </c>
      <c r="H418" s="409" t="s">
        <v>1164</v>
      </c>
      <c r="I418" s="409" t="s">
        <v>1165</v>
      </c>
      <c r="J418" s="334" t="s">
        <v>1191</v>
      </c>
      <c r="K418" s="334" t="s">
        <v>2932</v>
      </c>
      <c r="L418" s="344" t="s">
        <v>1380</v>
      </c>
      <c r="M418" s="334"/>
      <c r="N418" s="334"/>
      <c r="O418" s="345"/>
      <c r="P418" s="334"/>
      <c r="Q418" s="340"/>
      <c r="R418" s="349"/>
      <c r="S418" s="334"/>
      <c r="T418" s="334"/>
      <c r="U418" s="334"/>
      <c r="V418" s="334"/>
      <c r="W418" s="334"/>
      <c r="X418" s="334"/>
      <c r="Y418" s="334"/>
      <c r="Z418" s="334"/>
      <c r="AA418" s="334"/>
    </row>
    <row r="419" spans="1:51" ht="31.5" hidden="1">
      <c r="A419" s="418" t="s">
        <v>26</v>
      </c>
      <c r="B419" s="410" t="s">
        <v>54</v>
      </c>
      <c r="C419" s="418" t="s">
        <v>1166</v>
      </c>
      <c r="D419" s="336" t="s">
        <v>582</v>
      </c>
      <c r="E419" s="418" t="s">
        <v>582</v>
      </c>
      <c r="F419" s="418" t="s">
        <v>582</v>
      </c>
      <c r="G419" s="336" t="s">
        <v>582</v>
      </c>
      <c r="H419" s="336" t="s">
        <v>582</v>
      </c>
      <c r="I419" s="336" t="s">
        <v>582</v>
      </c>
      <c r="J419" s="336" t="s">
        <v>582</v>
      </c>
      <c r="K419" s="336" t="s">
        <v>582</v>
      </c>
      <c r="L419" s="336" t="s">
        <v>582</v>
      </c>
      <c r="M419" s="336" t="s">
        <v>582</v>
      </c>
      <c r="N419" s="336" t="s">
        <v>582</v>
      </c>
      <c r="O419" s="336" t="s">
        <v>582</v>
      </c>
      <c r="P419" s="336" t="s">
        <v>582</v>
      </c>
      <c r="R419" s="341" t="s">
        <v>582</v>
      </c>
      <c r="S419" s="336" t="s">
        <v>582</v>
      </c>
      <c r="T419" s="336" t="s">
        <v>582</v>
      </c>
      <c r="U419" s="336"/>
      <c r="V419" s="336" t="s">
        <v>582</v>
      </c>
      <c r="W419" s="336" t="s">
        <v>582</v>
      </c>
      <c r="X419" s="336" t="s">
        <v>582</v>
      </c>
      <c r="Y419" s="336" t="s">
        <v>582</v>
      </c>
      <c r="Z419" s="336" t="s">
        <v>582</v>
      </c>
      <c r="AA419" s="336" t="s">
        <v>582</v>
      </c>
    </row>
    <row r="420" spans="1:51" ht="47.25" hidden="1">
      <c r="A420" s="409" t="s">
        <v>26</v>
      </c>
      <c r="B420" s="408" t="s">
        <v>195</v>
      </c>
      <c r="C420" s="409" t="s">
        <v>1167</v>
      </c>
      <c r="D420" s="409" t="s">
        <v>1168</v>
      </c>
      <c r="E420" s="409" t="s">
        <v>1169</v>
      </c>
      <c r="F420" s="334"/>
      <c r="G420" s="409" t="s">
        <v>71</v>
      </c>
      <c r="H420" s="409" t="s">
        <v>1170</v>
      </c>
      <c r="I420" s="409" t="s">
        <v>1171</v>
      </c>
      <c r="J420" s="334"/>
      <c r="K420" s="334"/>
      <c r="L420" s="344"/>
      <c r="M420" s="334"/>
      <c r="N420" s="334"/>
      <c r="O420" s="345"/>
      <c r="P420" s="334"/>
      <c r="Q420" s="340"/>
      <c r="R420" s="349"/>
      <c r="S420" s="334"/>
      <c r="T420" s="334"/>
      <c r="U420" s="334"/>
      <c r="V420" s="334"/>
      <c r="W420" s="334"/>
      <c r="X420" s="334"/>
      <c r="Y420" s="334"/>
      <c r="Z420" s="334"/>
      <c r="AA420" s="334"/>
    </row>
    <row r="421" spans="1:51" ht="51.6" hidden="1" customHeight="1">
      <c r="A421" s="409" t="s">
        <v>26</v>
      </c>
      <c r="B421" s="408" t="s">
        <v>195</v>
      </c>
      <c r="C421" s="409" t="s">
        <v>1167</v>
      </c>
      <c r="D421" s="409" t="s">
        <v>1172</v>
      </c>
      <c r="E421" s="409" t="s">
        <v>1173</v>
      </c>
      <c r="F421" s="334" t="s">
        <v>2666</v>
      </c>
      <c r="G421" s="409" t="s">
        <v>62</v>
      </c>
      <c r="H421" s="409" t="s">
        <v>1174</v>
      </c>
      <c r="I421" s="409" t="s">
        <v>1175</v>
      </c>
      <c r="J421" s="334" t="s">
        <v>8</v>
      </c>
      <c r="K421" s="334" t="s">
        <v>2933</v>
      </c>
      <c r="L421" s="344" t="s">
        <v>1380</v>
      </c>
      <c r="M421" s="334"/>
      <c r="N421" s="334"/>
      <c r="O421" s="345"/>
      <c r="P421" s="334"/>
      <c r="Q421" s="340"/>
      <c r="R421" s="349"/>
      <c r="S421" s="334"/>
      <c r="T421" s="334"/>
      <c r="U421" s="334"/>
      <c r="V421" s="334"/>
      <c r="W421" s="334"/>
      <c r="X421" s="334"/>
      <c r="Y421" s="334"/>
      <c r="Z421" s="334"/>
      <c r="AA421" s="334"/>
    </row>
    <row r="422" spans="1:51" s="429" customFormat="1" ht="63" hidden="1">
      <c r="A422" s="418" t="s">
        <v>26</v>
      </c>
      <c r="B422" s="410" t="s">
        <v>195</v>
      </c>
      <c r="C422" s="418" t="s">
        <v>1176</v>
      </c>
      <c r="D422" s="336" t="s">
        <v>582</v>
      </c>
      <c r="E422" s="418" t="s">
        <v>582</v>
      </c>
      <c r="F422" s="418" t="s">
        <v>582</v>
      </c>
      <c r="G422" s="418" t="s">
        <v>582</v>
      </c>
      <c r="H422" s="336" t="s">
        <v>582</v>
      </c>
      <c r="I422" s="336" t="s">
        <v>582</v>
      </c>
      <c r="J422" s="336" t="s">
        <v>582</v>
      </c>
      <c r="K422" s="336" t="s">
        <v>582</v>
      </c>
      <c r="L422" s="336" t="s">
        <v>582</v>
      </c>
      <c r="M422" s="336" t="s">
        <v>582</v>
      </c>
      <c r="N422" s="336" t="s">
        <v>582</v>
      </c>
      <c r="O422" s="336" t="s">
        <v>582</v>
      </c>
      <c r="P422" s="336" t="s">
        <v>582</v>
      </c>
      <c r="Q422" s="391"/>
      <c r="R422" s="341" t="s">
        <v>582</v>
      </c>
      <c r="S422" s="336" t="s">
        <v>582</v>
      </c>
      <c r="T422" s="336" t="s">
        <v>582</v>
      </c>
      <c r="U422" s="336"/>
      <c r="V422" s="336" t="s">
        <v>582</v>
      </c>
      <c r="W422" s="336" t="s">
        <v>582</v>
      </c>
      <c r="X422" s="336" t="s">
        <v>582</v>
      </c>
      <c r="Y422" s="336" t="s">
        <v>582</v>
      </c>
      <c r="Z422" s="336" t="s">
        <v>582</v>
      </c>
      <c r="AA422" s="336" t="s">
        <v>582</v>
      </c>
      <c r="AB422" s="327"/>
      <c r="AC422" s="327"/>
      <c r="AD422" s="327"/>
      <c r="AE422" s="327"/>
      <c r="AF422" s="327"/>
      <c r="AG422" s="327"/>
      <c r="AH422" s="327"/>
      <c r="AI422" s="327"/>
      <c r="AJ422" s="327"/>
      <c r="AK422" s="327"/>
      <c r="AL422" s="327"/>
      <c r="AM422" s="327"/>
      <c r="AN422" s="327"/>
      <c r="AO422" s="327"/>
      <c r="AP422" s="327"/>
      <c r="AQ422" s="327"/>
      <c r="AR422" s="327"/>
      <c r="AS422" s="327"/>
      <c r="AT422" s="327"/>
      <c r="AU422" s="327"/>
      <c r="AV422" s="327"/>
      <c r="AW422" s="327"/>
      <c r="AX422" s="327"/>
      <c r="AY422" s="327"/>
    </row>
    <row r="423" spans="1:51" s="429" customFormat="1" ht="47.25" hidden="1">
      <c r="A423" s="418" t="s">
        <v>26</v>
      </c>
      <c r="B423" s="410" t="s">
        <v>195</v>
      </c>
      <c r="C423" s="418" t="s">
        <v>1177</v>
      </c>
      <c r="D423" s="336" t="s">
        <v>582</v>
      </c>
      <c r="E423" s="418" t="s">
        <v>582</v>
      </c>
      <c r="F423" s="418" t="s">
        <v>582</v>
      </c>
      <c r="G423" s="418" t="s">
        <v>582</v>
      </c>
      <c r="H423" s="336" t="s">
        <v>582</v>
      </c>
      <c r="I423" s="336" t="s">
        <v>582</v>
      </c>
      <c r="J423" s="336" t="s">
        <v>582</v>
      </c>
      <c r="K423" s="336" t="s">
        <v>582</v>
      </c>
      <c r="L423" s="336" t="s">
        <v>582</v>
      </c>
      <c r="M423" s="336" t="s">
        <v>582</v>
      </c>
      <c r="N423" s="336" t="s">
        <v>582</v>
      </c>
      <c r="O423" s="336" t="s">
        <v>582</v>
      </c>
      <c r="P423" s="336" t="s">
        <v>582</v>
      </c>
      <c r="Q423" s="391"/>
      <c r="R423" s="341" t="s">
        <v>582</v>
      </c>
      <c r="S423" s="336" t="s">
        <v>582</v>
      </c>
      <c r="T423" s="336" t="s">
        <v>582</v>
      </c>
      <c r="U423" s="336"/>
      <c r="V423" s="336" t="s">
        <v>582</v>
      </c>
      <c r="W423" s="336" t="s">
        <v>582</v>
      </c>
      <c r="X423" s="336" t="s">
        <v>582</v>
      </c>
      <c r="Y423" s="336" t="s">
        <v>582</v>
      </c>
      <c r="Z423" s="336" t="s">
        <v>582</v>
      </c>
      <c r="AA423" s="336" t="s">
        <v>582</v>
      </c>
      <c r="AB423" s="327"/>
      <c r="AC423" s="327"/>
      <c r="AD423" s="327"/>
      <c r="AE423" s="327"/>
      <c r="AF423" s="327"/>
      <c r="AG423" s="327"/>
      <c r="AH423" s="327"/>
      <c r="AI423" s="327"/>
      <c r="AJ423" s="327"/>
      <c r="AK423" s="327"/>
      <c r="AL423" s="327"/>
      <c r="AM423" s="327"/>
      <c r="AN423" s="327"/>
      <c r="AO423" s="327"/>
      <c r="AP423" s="327"/>
      <c r="AQ423" s="327"/>
      <c r="AR423" s="327"/>
      <c r="AS423" s="327"/>
      <c r="AT423" s="327"/>
      <c r="AU423" s="327"/>
      <c r="AV423" s="327"/>
      <c r="AW423" s="327"/>
      <c r="AX423" s="327"/>
      <c r="AY423" s="327"/>
    </row>
    <row r="424" spans="1:51" s="429" customFormat="1" ht="31.5" hidden="1">
      <c r="A424" s="418" t="s">
        <v>26</v>
      </c>
      <c r="B424" s="410" t="s">
        <v>195</v>
      </c>
      <c r="C424" s="418" t="s">
        <v>1178</v>
      </c>
      <c r="D424" s="336" t="s">
        <v>582</v>
      </c>
      <c r="E424" s="418" t="s">
        <v>582</v>
      </c>
      <c r="F424" s="418" t="s">
        <v>582</v>
      </c>
      <c r="G424" s="418" t="s">
        <v>582</v>
      </c>
      <c r="H424" s="336" t="s">
        <v>582</v>
      </c>
      <c r="I424" s="336" t="s">
        <v>582</v>
      </c>
      <c r="J424" s="336" t="s">
        <v>582</v>
      </c>
      <c r="K424" s="336" t="s">
        <v>582</v>
      </c>
      <c r="L424" s="336" t="s">
        <v>582</v>
      </c>
      <c r="M424" s="336" t="s">
        <v>582</v>
      </c>
      <c r="N424" s="336" t="s">
        <v>582</v>
      </c>
      <c r="O424" s="336" t="s">
        <v>582</v>
      </c>
      <c r="P424" s="336" t="s">
        <v>582</v>
      </c>
      <c r="Q424" s="391"/>
      <c r="R424" s="341" t="s">
        <v>582</v>
      </c>
      <c r="S424" s="336" t="s">
        <v>582</v>
      </c>
      <c r="T424" s="336" t="s">
        <v>582</v>
      </c>
      <c r="U424" s="336"/>
      <c r="V424" s="336" t="s">
        <v>582</v>
      </c>
      <c r="W424" s="336" t="s">
        <v>582</v>
      </c>
      <c r="X424" s="336" t="s">
        <v>582</v>
      </c>
      <c r="Y424" s="336" t="s">
        <v>582</v>
      </c>
      <c r="Z424" s="336" t="s">
        <v>582</v>
      </c>
      <c r="AA424" s="336" t="s">
        <v>582</v>
      </c>
      <c r="AB424" s="327"/>
      <c r="AC424" s="327"/>
      <c r="AD424" s="327"/>
      <c r="AE424" s="327"/>
      <c r="AF424" s="327"/>
      <c r="AG424" s="327"/>
      <c r="AH424" s="327"/>
      <c r="AI424" s="327"/>
      <c r="AJ424" s="327"/>
      <c r="AK424" s="327"/>
      <c r="AL424" s="327"/>
      <c r="AM424" s="327"/>
      <c r="AN424" s="327"/>
      <c r="AO424" s="327"/>
      <c r="AP424" s="327"/>
      <c r="AQ424" s="327"/>
      <c r="AR424" s="327"/>
      <c r="AS424" s="327"/>
      <c r="AT424" s="327"/>
      <c r="AU424" s="327"/>
      <c r="AV424" s="327"/>
      <c r="AW424" s="327"/>
      <c r="AX424" s="327"/>
      <c r="AY424" s="327"/>
    </row>
    <row r="425" spans="1:51" s="429" customFormat="1" ht="47.25" hidden="1">
      <c r="A425" s="418" t="s">
        <v>26</v>
      </c>
      <c r="B425" s="410" t="s">
        <v>274</v>
      </c>
      <c r="C425" s="418" t="s">
        <v>1179</v>
      </c>
      <c r="D425" s="336" t="s">
        <v>582</v>
      </c>
      <c r="E425" s="418" t="s">
        <v>582</v>
      </c>
      <c r="F425" s="418" t="s">
        <v>582</v>
      </c>
      <c r="G425" s="418" t="s">
        <v>582</v>
      </c>
      <c r="H425" s="336" t="s">
        <v>582</v>
      </c>
      <c r="I425" s="336" t="s">
        <v>582</v>
      </c>
      <c r="J425" s="336" t="s">
        <v>582</v>
      </c>
      <c r="K425" s="336" t="s">
        <v>582</v>
      </c>
      <c r="L425" s="336" t="s">
        <v>582</v>
      </c>
      <c r="M425" s="336" t="s">
        <v>582</v>
      </c>
      <c r="N425" s="336" t="s">
        <v>582</v>
      </c>
      <c r="O425" s="336" t="s">
        <v>582</v>
      </c>
      <c r="P425" s="336" t="s">
        <v>582</v>
      </c>
      <c r="Q425" s="391"/>
      <c r="R425" s="341" t="s">
        <v>582</v>
      </c>
      <c r="S425" s="336" t="s">
        <v>582</v>
      </c>
      <c r="T425" s="336" t="s">
        <v>582</v>
      </c>
      <c r="U425" s="336"/>
      <c r="V425" s="336" t="s">
        <v>582</v>
      </c>
      <c r="W425" s="336" t="s">
        <v>582</v>
      </c>
      <c r="X425" s="336" t="s">
        <v>582</v>
      </c>
      <c r="Y425" s="336" t="s">
        <v>582</v>
      </c>
      <c r="Z425" s="336" t="s">
        <v>582</v>
      </c>
      <c r="AA425" s="336" t="s">
        <v>582</v>
      </c>
      <c r="AB425" s="327"/>
      <c r="AC425" s="327"/>
      <c r="AD425" s="327"/>
      <c r="AE425" s="327"/>
      <c r="AF425" s="327"/>
      <c r="AG425" s="327"/>
      <c r="AH425" s="327"/>
      <c r="AI425" s="327"/>
      <c r="AJ425" s="327"/>
      <c r="AK425" s="327"/>
      <c r="AL425" s="327"/>
      <c r="AM425" s="327"/>
      <c r="AN425" s="327"/>
      <c r="AO425" s="327"/>
      <c r="AP425" s="327"/>
      <c r="AQ425" s="327"/>
      <c r="AR425" s="327"/>
      <c r="AS425" s="327"/>
      <c r="AT425" s="327"/>
      <c r="AU425" s="327"/>
      <c r="AV425" s="327"/>
      <c r="AW425" s="327"/>
      <c r="AX425" s="327"/>
      <c r="AY425" s="327"/>
    </row>
    <row r="426" spans="1:51" s="429" customFormat="1" ht="78.75" hidden="1">
      <c r="A426" s="418" t="s">
        <v>26</v>
      </c>
      <c r="B426" s="410" t="s">
        <v>274</v>
      </c>
      <c r="C426" s="418" t="s">
        <v>1180</v>
      </c>
      <c r="D426" s="336" t="s">
        <v>582</v>
      </c>
      <c r="E426" s="418" t="s">
        <v>582</v>
      </c>
      <c r="F426" s="418" t="s">
        <v>582</v>
      </c>
      <c r="G426" s="418" t="s">
        <v>582</v>
      </c>
      <c r="H426" s="336" t="s">
        <v>582</v>
      </c>
      <c r="I426" s="336" t="s">
        <v>582</v>
      </c>
      <c r="J426" s="336" t="s">
        <v>582</v>
      </c>
      <c r="K426" s="336" t="s">
        <v>582</v>
      </c>
      <c r="L426" s="336" t="s">
        <v>582</v>
      </c>
      <c r="M426" s="336" t="s">
        <v>582</v>
      </c>
      <c r="N426" s="336" t="s">
        <v>582</v>
      </c>
      <c r="O426" s="336" t="s">
        <v>582</v>
      </c>
      <c r="P426" s="336" t="s">
        <v>582</v>
      </c>
      <c r="Q426" s="391"/>
      <c r="R426" s="341" t="s">
        <v>582</v>
      </c>
      <c r="S426" s="336" t="s">
        <v>582</v>
      </c>
      <c r="T426" s="336" t="s">
        <v>582</v>
      </c>
      <c r="U426" s="336"/>
      <c r="V426" s="336" t="s">
        <v>582</v>
      </c>
      <c r="W426" s="336" t="s">
        <v>582</v>
      </c>
      <c r="X426" s="336" t="s">
        <v>582</v>
      </c>
      <c r="Y426" s="336" t="s">
        <v>582</v>
      </c>
      <c r="Z426" s="336" t="s">
        <v>582</v>
      </c>
      <c r="AA426" s="336" t="s">
        <v>582</v>
      </c>
      <c r="AB426" s="327"/>
      <c r="AC426" s="327"/>
      <c r="AD426" s="327"/>
      <c r="AE426" s="327"/>
      <c r="AF426" s="327"/>
      <c r="AG426" s="327"/>
      <c r="AH426" s="327"/>
      <c r="AI426" s="327"/>
      <c r="AJ426" s="327"/>
      <c r="AK426" s="327"/>
      <c r="AL426" s="327"/>
      <c r="AM426" s="327"/>
      <c r="AN426" s="327"/>
      <c r="AO426" s="327"/>
      <c r="AP426" s="327"/>
      <c r="AQ426" s="327"/>
      <c r="AR426" s="327"/>
      <c r="AS426" s="327"/>
      <c r="AT426" s="327"/>
      <c r="AU426" s="327"/>
      <c r="AV426" s="327"/>
      <c r="AW426" s="327"/>
      <c r="AX426" s="327"/>
      <c r="AY426" s="327"/>
    </row>
    <row r="427" spans="1:51" s="429" customFormat="1" ht="47.25" hidden="1">
      <c r="A427" s="418" t="s">
        <v>26</v>
      </c>
      <c r="B427" s="410" t="s">
        <v>274</v>
      </c>
      <c r="C427" s="418" t="s">
        <v>1181</v>
      </c>
      <c r="D427" s="336" t="s">
        <v>582</v>
      </c>
      <c r="E427" s="418" t="s">
        <v>582</v>
      </c>
      <c r="F427" s="418" t="s">
        <v>582</v>
      </c>
      <c r="G427" s="418" t="s">
        <v>582</v>
      </c>
      <c r="H427" s="336" t="s">
        <v>582</v>
      </c>
      <c r="I427" s="336" t="s">
        <v>582</v>
      </c>
      <c r="J427" s="336" t="s">
        <v>582</v>
      </c>
      <c r="K427" s="336" t="s">
        <v>582</v>
      </c>
      <c r="L427" s="336" t="s">
        <v>582</v>
      </c>
      <c r="M427" s="336" t="s">
        <v>582</v>
      </c>
      <c r="N427" s="336" t="s">
        <v>582</v>
      </c>
      <c r="O427" s="336" t="s">
        <v>582</v>
      </c>
      <c r="P427" s="336" t="s">
        <v>582</v>
      </c>
      <c r="Q427" s="391"/>
      <c r="R427" s="341" t="s">
        <v>582</v>
      </c>
      <c r="S427" s="336" t="s">
        <v>582</v>
      </c>
      <c r="T427" s="336" t="s">
        <v>582</v>
      </c>
      <c r="U427" s="336"/>
      <c r="V427" s="336" t="s">
        <v>582</v>
      </c>
      <c r="W427" s="336" t="s">
        <v>582</v>
      </c>
      <c r="X427" s="336" t="s">
        <v>582</v>
      </c>
      <c r="Y427" s="336" t="s">
        <v>582</v>
      </c>
      <c r="Z427" s="336" t="s">
        <v>582</v>
      </c>
      <c r="AA427" s="336" t="s">
        <v>582</v>
      </c>
      <c r="AB427" s="327"/>
      <c r="AC427" s="327"/>
      <c r="AD427" s="327"/>
      <c r="AE427" s="327"/>
      <c r="AF427" s="327"/>
      <c r="AG427" s="327"/>
      <c r="AH427" s="327"/>
      <c r="AI427" s="327"/>
      <c r="AJ427" s="327"/>
      <c r="AK427" s="327"/>
      <c r="AL427" s="327"/>
      <c r="AM427" s="327"/>
      <c r="AN427" s="327"/>
      <c r="AO427" s="327"/>
      <c r="AP427" s="327"/>
      <c r="AQ427" s="327"/>
      <c r="AR427" s="327"/>
      <c r="AS427" s="327"/>
      <c r="AT427" s="327"/>
      <c r="AU427" s="327"/>
      <c r="AV427" s="327"/>
      <c r="AW427" s="327"/>
      <c r="AX427" s="327"/>
      <c r="AY427" s="327"/>
    </row>
    <row r="428" spans="1:51" s="429" customFormat="1" ht="63" hidden="1">
      <c r="A428" s="418" t="s">
        <v>26</v>
      </c>
      <c r="B428" s="410" t="s">
        <v>274</v>
      </c>
      <c r="C428" s="418" t="s">
        <v>1182</v>
      </c>
      <c r="D428" s="336" t="s">
        <v>582</v>
      </c>
      <c r="E428" s="418" t="s">
        <v>582</v>
      </c>
      <c r="F428" s="418" t="s">
        <v>582</v>
      </c>
      <c r="G428" s="418" t="s">
        <v>582</v>
      </c>
      <c r="H428" s="336" t="s">
        <v>582</v>
      </c>
      <c r="I428" s="336" t="s">
        <v>582</v>
      </c>
      <c r="J428" s="336" t="s">
        <v>582</v>
      </c>
      <c r="K428" s="336" t="s">
        <v>582</v>
      </c>
      <c r="L428" s="336" t="s">
        <v>582</v>
      </c>
      <c r="M428" s="336" t="s">
        <v>582</v>
      </c>
      <c r="N428" s="336" t="s">
        <v>582</v>
      </c>
      <c r="O428" s="336" t="s">
        <v>582</v>
      </c>
      <c r="P428" s="336" t="s">
        <v>582</v>
      </c>
      <c r="Q428" s="391"/>
      <c r="R428" s="341" t="s">
        <v>582</v>
      </c>
      <c r="S428" s="336" t="s">
        <v>582</v>
      </c>
      <c r="T428" s="336" t="s">
        <v>582</v>
      </c>
      <c r="U428" s="336"/>
      <c r="V428" s="336" t="s">
        <v>582</v>
      </c>
      <c r="W428" s="336" t="s">
        <v>582</v>
      </c>
      <c r="X428" s="336" t="s">
        <v>582</v>
      </c>
      <c r="Y428" s="336" t="s">
        <v>582</v>
      </c>
      <c r="Z428" s="336" t="s">
        <v>582</v>
      </c>
      <c r="AA428" s="336" t="s">
        <v>582</v>
      </c>
      <c r="AB428" s="327"/>
      <c r="AC428" s="327"/>
      <c r="AD428" s="327"/>
      <c r="AE428" s="327"/>
      <c r="AF428" s="327"/>
      <c r="AG428" s="327"/>
      <c r="AH428" s="327"/>
      <c r="AI428" s="327"/>
      <c r="AJ428" s="327"/>
      <c r="AK428" s="327"/>
      <c r="AL428" s="327"/>
      <c r="AM428" s="327"/>
      <c r="AN428" s="327"/>
      <c r="AO428" s="327"/>
      <c r="AP428" s="327"/>
      <c r="AQ428" s="327"/>
      <c r="AR428" s="327"/>
      <c r="AS428" s="327"/>
      <c r="AT428" s="327"/>
      <c r="AU428" s="327"/>
      <c r="AV428" s="327"/>
      <c r="AW428" s="327"/>
      <c r="AX428" s="327"/>
      <c r="AY428" s="327"/>
    </row>
    <row r="429" spans="1:51" s="429" customFormat="1" ht="56.25" hidden="1">
      <c r="A429" s="418" t="s">
        <v>26</v>
      </c>
      <c r="B429" s="410" t="s">
        <v>587</v>
      </c>
      <c r="C429" s="418" t="s">
        <v>1183</v>
      </c>
      <c r="D429" s="336" t="s">
        <v>582</v>
      </c>
      <c r="E429" s="418" t="s">
        <v>582</v>
      </c>
      <c r="F429" s="418" t="s">
        <v>582</v>
      </c>
      <c r="G429" s="418" t="s">
        <v>582</v>
      </c>
      <c r="H429" s="336" t="s">
        <v>582</v>
      </c>
      <c r="I429" s="336" t="s">
        <v>582</v>
      </c>
      <c r="J429" s="336" t="s">
        <v>582</v>
      </c>
      <c r="K429" s="336" t="s">
        <v>582</v>
      </c>
      <c r="L429" s="336" t="s">
        <v>582</v>
      </c>
      <c r="M429" s="336" t="s">
        <v>582</v>
      </c>
      <c r="N429" s="336" t="s">
        <v>582</v>
      </c>
      <c r="O429" s="336" t="s">
        <v>582</v>
      </c>
      <c r="P429" s="336" t="s">
        <v>582</v>
      </c>
      <c r="Q429" s="391"/>
      <c r="R429" s="341" t="s">
        <v>582</v>
      </c>
      <c r="S429" s="336" t="s">
        <v>582</v>
      </c>
      <c r="T429" s="336" t="s">
        <v>582</v>
      </c>
      <c r="U429" s="336"/>
      <c r="V429" s="336" t="s">
        <v>582</v>
      </c>
      <c r="W429" s="336" t="s">
        <v>582</v>
      </c>
      <c r="X429" s="336" t="s">
        <v>582</v>
      </c>
      <c r="Y429" s="336" t="s">
        <v>582</v>
      </c>
      <c r="Z429" s="336" t="s">
        <v>582</v>
      </c>
      <c r="AA429" s="336" t="s">
        <v>582</v>
      </c>
      <c r="AB429" s="327"/>
      <c r="AC429" s="327"/>
      <c r="AD429" s="327"/>
      <c r="AE429" s="327"/>
      <c r="AF429" s="327"/>
      <c r="AG429" s="327"/>
      <c r="AH429" s="327"/>
      <c r="AI429" s="327"/>
      <c r="AJ429" s="327"/>
      <c r="AK429" s="327"/>
      <c r="AL429" s="327"/>
      <c r="AM429" s="327"/>
      <c r="AN429" s="327"/>
      <c r="AO429" s="327"/>
      <c r="AP429" s="327"/>
      <c r="AQ429" s="327"/>
      <c r="AR429" s="327"/>
      <c r="AS429" s="327"/>
      <c r="AT429" s="327"/>
      <c r="AU429" s="327"/>
      <c r="AV429" s="327"/>
      <c r="AW429" s="327"/>
      <c r="AX429" s="327"/>
      <c r="AY429" s="327"/>
    </row>
    <row r="430" spans="1:51" s="429" customFormat="1" ht="63" hidden="1">
      <c r="A430" s="418" t="s">
        <v>26</v>
      </c>
      <c r="B430" s="410" t="s">
        <v>587</v>
      </c>
      <c r="C430" s="418" t="s">
        <v>1184</v>
      </c>
      <c r="D430" s="336" t="s">
        <v>582</v>
      </c>
      <c r="E430" s="418" t="s">
        <v>582</v>
      </c>
      <c r="F430" s="418" t="s">
        <v>582</v>
      </c>
      <c r="G430" s="418" t="s">
        <v>582</v>
      </c>
      <c r="H430" s="336" t="s">
        <v>582</v>
      </c>
      <c r="I430" s="336" t="s">
        <v>582</v>
      </c>
      <c r="J430" s="336" t="s">
        <v>582</v>
      </c>
      <c r="K430" s="336" t="s">
        <v>582</v>
      </c>
      <c r="L430" s="336" t="s">
        <v>582</v>
      </c>
      <c r="M430" s="336" t="s">
        <v>582</v>
      </c>
      <c r="N430" s="336" t="s">
        <v>582</v>
      </c>
      <c r="O430" s="336" t="s">
        <v>582</v>
      </c>
      <c r="P430" s="336" t="s">
        <v>582</v>
      </c>
      <c r="Q430" s="391"/>
      <c r="R430" s="341" t="s">
        <v>582</v>
      </c>
      <c r="S430" s="336" t="s">
        <v>582</v>
      </c>
      <c r="T430" s="336" t="s">
        <v>582</v>
      </c>
      <c r="U430" s="336"/>
      <c r="V430" s="336" t="s">
        <v>582</v>
      </c>
      <c r="W430" s="336" t="s">
        <v>582</v>
      </c>
      <c r="X430" s="336" t="s">
        <v>582</v>
      </c>
      <c r="Y430" s="336" t="s">
        <v>582</v>
      </c>
      <c r="Z430" s="336" t="s">
        <v>582</v>
      </c>
      <c r="AA430" s="336" t="s">
        <v>582</v>
      </c>
      <c r="AB430" s="327"/>
      <c r="AC430" s="327"/>
      <c r="AD430" s="327"/>
      <c r="AE430" s="327"/>
      <c r="AF430" s="327"/>
      <c r="AG430" s="327"/>
      <c r="AH430" s="327"/>
      <c r="AI430" s="327"/>
      <c r="AJ430" s="327"/>
      <c r="AK430" s="327"/>
      <c r="AL430" s="327"/>
      <c r="AM430" s="327"/>
      <c r="AN430" s="327"/>
      <c r="AO430" s="327"/>
      <c r="AP430" s="327"/>
      <c r="AQ430" s="327"/>
      <c r="AR430" s="327"/>
      <c r="AS430" s="327"/>
      <c r="AT430" s="327"/>
      <c r="AU430" s="327"/>
      <c r="AV430" s="327"/>
      <c r="AW430" s="327"/>
      <c r="AX430" s="327"/>
      <c r="AY430" s="327"/>
    </row>
    <row r="431" spans="1:51" s="429" customFormat="1" ht="78.75" hidden="1">
      <c r="A431" s="418" t="s">
        <v>26</v>
      </c>
      <c r="B431" s="410" t="s">
        <v>587</v>
      </c>
      <c r="C431" s="418" t="s">
        <v>1185</v>
      </c>
      <c r="D431" s="336" t="s">
        <v>582</v>
      </c>
      <c r="E431" s="418" t="s">
        <v>582</v>
      </c>
      <c r="F431" s="418" t="s">
        <v>582</v>
      </c>
      <c r="G431" s="418" t="s">
        <v>582</v>
      </c>
      <c r="H431" s="336" t="s">
        <v>582</v>
      </c>
      <c r="I431" s="336" t="s">
        <v>582</v>
      </c>
      <c r="J431" s="336" t="s">
        <v>582</v>
      </c>
      <c r="K431" s="336" t="s">
        <v>582</v>
      </c>
      <c r="L431" s="336" t="s">
        <v>582</v>
      </c>
      <c r="M431" s="336" t="s">
        <v>582</v>
      </c>
      <c r="N431" s="336" t="s">
        <v>582</v>
      </c>
      <c r="O431" s="336" t="s">
        <v>582</v>
      </c>
      <c r="P431" s="336" t="s">
        <v>582</v>
      </c>
      <c r="Q431" s="391"/>
      <c r="R431" s="341" t="s">
        <v>582</v>
      </c>
      <c r="S431" s="336" t="s">
        <v>582</v>
      </c>
      <c r="T431" s="336" t="s">
        <v>582</v>
      </c>
      <c r="U431" s="336"/>
      <c r="V431" s="336" t="s">
        <v>582</v>
      </c>
      <c r="W431" s="336" t="s">
        <v>582</v>
      </c>
      <c r="X431" s="336" t="s">
        <v>582</v>
      </c>
      <c r="Y431" s="336" t="s">
        <v>582</v>
      </c>
      <c r="Z431" s="336" t="s">
        <v>582</v>
      </c>
      <c r="AA431" s="336" t="s">
        <v>582</v>
      </c>
      <c r="AB431" s="327"/>
      <c r="AC431" s="327"/>
      <c r="AD431" s="327"/>
      <c r="AE431" s="327"/>
      <c r="AF431" s="327"/>
      <c r="AG431" s="327"/>
      <c r="AH431" s="327"/>
      <c r="AI431" s="327"/>
      <c r="AJ431" s="327"/>
      <c r="AK431" s="327"/>
      <c r="AL431" s="327"/>
      <c r="AM431" s="327"/>
      <c r="AN431" s="327"/>
      <c r="AO431" s="327"/>
      <c r="AP431" s="327"/>
      <c r="AQ431" s="327"/>
      <c r="AR431" s="327"/>
      <c r="AS431" s="327"/>
      <c r="AT431" s="327"/>
      <c r="AU431" s="327"/>
      <c r="AV431" s="327"/>
      <c r="AW431" s="327"/>
      <c r="AX431" s="327"/>
      <c r="AY431" s="327"/>
    </row>
    <row r="432" spans="1:51" ht="57" hidden="1" customHeight="1">
      <c r="A432" s="409" t="s">
        <v>26</v>
      </c>
      <c r="B432" s="408" t="s">
        <v>587</v>
      </c>
      <c r="C432" s="409" t="s">
        <v>1186</v>
      </c>
      <c r="D432" s="409" t="s">
        <v>1187</v>
      </c>
      <c r="E432" s="409" t="s">
        <v>1188</v>
      </c>
      <c r="F432" s="334" t="s">
        <v>2666</v>
      </c>
      <c r="G432" s="409" t="s">
        <v>62</v>
      </c>
      <c r="H432" s="409" t="s">
        <v>1189</v>
      </c>
      <c r="I432" s="419">
        <v>0.5</v>
      </c>
      <c r="J432" s="334" t="s">
        <v>8</v>
      </c>
      <c r="K432" s="334"/>
      <c r="L432" s="344"/>
      <c r="M432" s="334"/>
      <c r="N432" s="334"/>
      <c r="O432" s="345"/>
      <c r="P432" s="334" t="s">
        <v>2902</v>
      </c>
      <c r="Q432" s="340"/>
      <c r="R432" s="349"/>
      <c r="S432" s="334"/>
      <c r="T432" s="334"/>
      <c r="U432" s="334"/>
      <c r="V432" s="334"/>
      <c r="W432" s="334"/>
      <c r="X432" s="334"/>
      <c r="Y432" s="334"/>
      <c r="Z432" s="334"/>
      <c r="AA432" s="334"/>
    </row>
    <row r="433" spans="2:27" s="327" customFormat="1">
      <c r="B433" s="437"/>
      <c r="C433" s="438"/>
      <c r="D433" s="438"/>
      <c r="P433" s="389"/>
      <c r="Q433" s="391"/>
      <c r="AA433" s="389"/>
    </row>
    <row r="434" spans="2:27" s="327" customFormat="1">
      <c r="B434" s="437"/>
      <c r="C434" s="438"/>
      <c r="D434" s="438"/>
      <c r="P434" s="389"/>
      <c r="Q434" s="391"/>
      <c r="AA434" s="389"/>
    </row>
    <row r="435" spans="2:27" s="327" customFormat="1">
      <c r="B435" s="437"/>
      <c r="C435" s="438"/>
      <c r="D435" s="438"/>
      <c r="P435" s="389"/>
      <c r="Q435" s="391"/>
      <c r="AA435" s="389"/>
    </row>
    <row r="436" spans="2:27" s="327" customFormat="1">
      <c r="B436" s="437"/>
      <c r="C436" s="438"/>
      <c r="D436" s="438"/>
      <c r="P436" s="389"/>
      <c r="Q436" s="391"/>
      <c r="AA436" s="389"/>
    </row>
    <row r="437" spans="2:27" s="327" customFormat="1">
      <c r="B437" s="437"/>
      <c r="C437" s="438"/>
      <c r="D437" s="438"/>
      <c r="P437" s="389"/>
      <c r="Q437" s="391"/>
      <c r="AA437" s="389"/>
    </row>
    <row r="438" spans="2:27" s="327" customFormat="1">
      <c r="B438" s="437"/>
      <c r="C438" s="438"/>
      <c r="D438" s="438"/>
      <c r="P438" s="389"/>
      <c r="Q438" s="391"/>
      <c r="AA438" s="389"/>
    </row>
    <row r="439" spans="2:27" s="327" customFormat="1">
      <c r="B439" s="437"/>
      <c r="C439" s="438"/>
      <c r="D439" s="438"/>
      <c r="P439" s="389"/>
      <c r="Q439" s="391"/>
      <c r="AA439" s="389"/>
    </row>
    <row r="440" spans="2:27" s="327" customFormat="1">
      <c r="B440" s="437"/>
      <c r="C440" s="438"/>
      <c r="D440" s="438"/>
      <c r="P440" s="389"/>
      <c r="Q440" s="391"/>
      <c r="AA440" s="389"/>
    </row>
    <row r="441" spans="2:27" s="327" customFormat="1">
      <c r="B441" s="437"/>
      <c r="C441" s="438"/>
      <c r="D441" s="438"/>
      <c r="P441" s="389"/>
      <c r="Q441" s="391"/>
      <c r="AA441" s="389"/>
    </row>
    <row r="442" spans="2:27" s="327" customFormat="1">
      <c r="B442" s="437"/>
      <c r="C442" s="438"/>
      <c r="D442" s="438"/>
      <c r="P442" s="389"/>
      <c r="Q442" s="391"/>
      <c r="AA442" s="389"/>
    </row>
    <row r="443" spans="2:27" s="327" customFormat="1">
      <c r="B443" s="437"/>
      <c r="C443" s="438"/>
      <c r="D443" s="438"/>
      <c r="P443" s="389"/>
      <c r="Q443" s="391"/>
      <c r="AA443" s="389"/>
    </row>
    <row r="444" spans="2:27" s="327" customFormat="1">
      <c r="B444" s="437"/>
      <c r="C444" s="438"/>
      <c r="D444" s="438"/>
      <c r="P444" s="389"/>
      <c r="Q444" s="391"/>
      <c r="AA444" s="389"/>
    </row>
    <row r="445" spans="2:27" s="327" customFormat="1">
      <c r="B445" s="437"/>
      <c r="C445" s="438"/>
      <c r="D445" s="438"/>
      <c r="P445" s="389"/>
      <c r="Q445" s="391"/>
      <c r="AA445" s="389"/>
    </row>
    <row r="446" spans="2:27" s="327" customFormat="1">
      <c r="B446" s="437"/>
      <c r="C446" s="438"/>
      <c r="D446" s="438"/>
      <c r="P446" s="389"/>
      <c r="Q446" s="391"/>
      <c r="AA446" s="389"/>
    </row>
    <row r="447" spans="2:27" s="327" customFormat="1">
      <c r="B447" s="437"/>
      <c r="C447" s="438"/>
      <c r="D447" s="438"/>
      <c r="P447" s="389"/>
      <c r="Q447" s="391"/>
      <c r="AA447" s="389"/>
    </row>
    <row r="448" spans="2:27" s="327" customFormat="1">
      <c r="B448" s="437"/>
      <c r="C448" s="438"/>
      <c r="D448" s="438"/>
      <c r="P448" s="389"/>
      <c r="Q448" s="391"/>
      <c r="AA448" s="389"/>
    </row>
    <row r="449" spans="2:27" s="327" customFormat="1">
      <c r="B449" s="437"/>
      <c r="C449" s="438"/>
      <c r="D449" s="438"/>
      <c r="P449" s="389"/>
      <c r="Q449" s="391"/>
      <c r="AA449" s="389"/>
    </row>
    <row r="450" spans="2:27" s="327" customFormat="1">
      <c r="B450" s="437"/>
      <c r="C450" s="438"/>
      <c r="D450" s="438"/>
      <c r="P450" s="389"/>
      <c r="Q450" s="391"/>
      <c r="AA450" s="389"/>
    </row>
    <row r="451" spans="2:27" s="327" customFormat="1">
      <c r="B451" s="437"/>
      <c r="C451" s="438"/>
      <c r="D451" s="438"/>
      <c r="P451" s="389"/>
      <c r="Q451" s="391"/>
      <c r="AA451" s="389"/>
    </row>
    <row r="452" spans="2:27" s="327" customFormat="1">
      <c r="B452" s="437"/>
      <c r="C452" s="438"/>
      <c r="D452" s="438"/>
      <c r="P452" s="389"/>
      <c r="Q452" s="391"/>
      <c r="AA452" s="389"/>
    </row>
    <row r="453" spans="2:27" s="327" customFormat="1">
      <c r="B453" s="437"/>
      <c r="C453" s="438"/>
      <c r="D453" s="438"/>
      <c r="P453" s="389"/>
      <c r="Q453" s="391"/>
      <c r="AA453" s="389"/>
    </row>
    <row r="454" spans="2:27" s="327" customFormat="1">
      <c r="B454" s="437"/>
      <c r="C454" s="438"/>
      <c r="D454" s="438"/>
      <c r="P454" s="389"/>
      <c r="Q454" s="391"/>
      <c r="AA454" s="389"/>
    </row>
    <row r="455" spans="2:27" s="327" customFormat="1">
      <c r="B455" s="437"/>
      <c r="C455" s="438"/>
      <c r="D455" s="438"/>
      <c r="P455" s="389"/>
      <c r="Q455" s="391"/>
      <c r="AA455" s="389"/>
    </row>
    <row r="456" spans="2:27" s="327" customFormat="1">
      <c r="B456" s="437"/>
      <c r="C456" s="438"/>
      <c r="D456" s="438"/>
      <c r="P456" s="389"/>
      <c r="Q456" s="391"/>
      <c r="AA456" s="389"/>
    </row>
    <row r="457" spans="2:27" s="327" customFormat="1">
      <c r="B457" s="437"/>
      <c r="C457" s="438"/>
      <c r="D457" s="438"/>
      <c r="P457" s="389"/>
      <c r="Q457" s="391"/>
      <c r="AA457" s="389"/>
    </row>
    <row r="458" spans="2:27" s="327" customFormat="1">
      <c r="B458" s="437"/>
      <c r="C458" s="438"/>
      <c r="D458" s="438"/>
      <c r="P458" s="389"/>
      <c r="Q458" s="391"/>
      <c r="AA458" s="389"/>
    </row>
    <row r="459" spans="2:27" s="327" customFormat="1">
      <c r="B459" s="437"/>
      <c r="C459" s="438"/>
      <c r="D459" s="438"/>
      <c r="P459" s="389"/>
      <c r="Q459" s="391"/>
      <c r="AA459" s="389"/>
    </row>
    <row r="460" spans="2:27" s="327" customFormat="1">
      <c r="B460" s="437"/>
      <c r="C460" s="438"/>
      <c r="D460" s="438"/>
      <c r="P460" s="389"/>
      <c r="Q460" s="391"/>
      <c r="AA460" s="389"/>
    </row>
    <row r="461" spans="2:27" s="327" customFormat="1">
      <c r="B461" s="437"/>
      <c r="C461" s="438"/>
      <c r="D461" s="438"/>
      <c r="P461" s="389"/>
      <c r="Q461" s="391"/>
      <c r="AA461" s="389"/>
    </row>
    <row r="462" spans="2:27" s="327" customFormat="1">
      <c r="B462" s="437"/>
      <c r="C462" s="438"/>
      <c r="D462" s="438"/>
      <c r="P462" s="389"/>
      <c r="Q462" s="391"/>
      <c r="AA462" s="389"/>
    </row>
    <row r="463" spans="2:27" s="327" customFormat="1">
      <c r="B463" s="437"/>
      <c r="C463" s="438"/>
      <c r="D463" s="438"/>
      <c r="P463" s="389"/>
      <c r="Q463" s="391"/>
      <c r="AA463" s="389"/>
    </row>
    <row r="464" spans="2:27" s="327" customFormat="1">
      <c r="B464" s="437"/>
      <c r="C464" s="438"/>
      <c r="D464" s="438"/>
      <c r="P464" s="389"/>
      <c r="Q464" s="391"/>
      <c r="AA464" s="389"/>
    </row>
    <row r="465" spans="2:27" s="327" customFormat="1">
      <c r="B465" s="437"/>
      <c r="C465" s="438"/>
      <c r="D465" s="438"/>
      <c r="P465" s="389"/>
      <c r="Q465" s="391"/>
      <c r="AA465" s="389"/>
    </row>
    <row r="466" spans="2:27" s="327" customFormat="1">
      <c r="B466" s="437"/>
      <c r="C466" s="438"/>
      <c r="D466" s="438"/>
      <c r="P466" s="389"/>
      <c r="Q466" s="391"/>
      <c r="AA466" s="389"/>
    </row>
    <row r="467" spans="2:27" s="327" customFormat="1">
      <c r="B467" s="437"/>
      <c r="C467" s="438"/>
      <c r="D467" s="438"/>
      <c r="P467" s="389"/>
      <c r="Q467" s="391"/>
      <c r="AA467" s="389"/>
    </row>
    <row r="468" spans="2:27" s="327" customFormat="1">
      <c r="B468" s="437"/>
      <c r="C468" s="438"/>
      <c r="D468" s="438"/>
      <c r="P468" s="389"/>
      <c r="Q468" s="391"/>
      <c r="AA468" s="389"/>
    </row>
    <row r="469" spans="2:27" s="327" customFormat="1">
      <c r="B469" s="437"/>
      <c r="C469" s="438"/>
      <c r="D469" s="438"/>
      <c r="P469" s="389"/>
      <c r="Q469" s="391"/>
      <c r="AA469" s="389"/>
    </row>
    <row r="470" spans="2:27" s="327" customFormat="1">
      <c r="B470" s="437"/>
      <c r="C470" s="438"/>
      <c r="D470" s="438"/>
      <c r="P470" s="389"/>
      <c r="Q470" s="391"/>
      <c r="AA470" s="389"/>
    </row>
    <row r="471" spans="2:27" s="327" customFormat="1">
      <c r="B471" s="437"/>
      <c r="C471" s="438"/>
      <c r="D471" s="438"/>
      <c r="P471" s="389"/>
      <c r="Q471" s="391"/>
      <c r="AA471" s="389"/>
    </row>
    <row r="472" spans="2:27" s="327" customFormat="1">
      <c r="B472" s="437"/>
      <c r="C472" s="438"/>
      <c r="D472" s="438"/>
      <c r="P472" s="389"/>
      <c r="Q472" s="391"/>
      <c r="AA472" s="389"/>
    </row>
    <row r="473" spans="2:27" s="327" customFormat="1">
      <c r="B473" s="437"/>
      <c r="C473" s="438"/>
      <c r="D473" s="438"/>
      <c r="P473" s="389"/>
      <c r="Q473" s="391"/>
      <c r="AA473" s="389"/>
    </row>
    <row r="474" spans="2:27" s="327" customFormat="1">
      <c r="B474" s="437"/>
      <c r="C474" s="438"/>
      <c r="D474" s="438"/>
      <c r="P474" s="389"/>
      <c r="Q474" s="391"/>
      <c r="AA474" s="389"/>
    </row>
    <row r="475" spans="2:27" s="327" customFormat="1">
      <c r="B475" s="437"/>
      <c r="C475" s="438"/>
      <c r="D475" s="438"/>
      <c r="P475" s="389"/>
      <c r="Q475" s="391"/>
      <c r="AA475" s="389"/>
    </row>
    <row r="476" spans="2:27" s="327" customFormat="1">
      <c r="B476" s="437"/>
      <c r="C476" s="438"/>
      <c r="D476" s="438"/>
      <c r="P476" s="389"/>
      <c r="Q476" s="391"/>
      <c r="AA476" s="389"/>
    </row>
    <row r="477" spans="2:27" s="327" customFormat="1">
      <c r="B477" s="437"/>
      <c r="C477" s="438"/>
      <c r="D477" s="438"/>
      <c r="P477" s="389"/>
      <c r="Q477" s="391"/>
      <c r="AA477" s="389"/>
    </row>
    <row r="478" spans="2:27" s="327" customFormat="1">
      <c r="B478" s="437"/>
      <c r="C478" s="438"/>
      <c r="D478" s="438"/>
      <c r="P478" s="389"/>
      <c r="Q478" s="391"/>
      <c r="AA478" s="389"/>
    </row>
    <row r="479" spans="2:27" s="327" customFormat="1">
      <c r="B479" s="437"/>
      <c r="C479" s="438"/>
      <c r="D479" s="438"/>
      <c r="P479" s="389"/>
      <c r="Q479" s="391"/>
      <c r="AA479" s="389"/>
    </row>
    <row r="480" spans="2:27" s="327" customFormat="1">
      <c r="B480" s="437"/>
      <c r="C480" s="438"/>
      <c r="D480" s="438"/>
      <c r="P480" s="389"/>
      <c r="Q480" s="391"/>
      <c r="AA480" s="389"/>
    </row>
    <row r="481" spans="2:27" s="327" customFormat="1">
      <c r="B481" s="437"/>
      <c r="C481" s="438"/>
      <c r="D481" s="438"/>
      <c r="P481" s="389"/>
      <c r="Q481" s="391"/>
      <c r="AA481" s="389"/>
    </row>
    <row r="482" spans="2:27" s="327" customFormat="1">
      <c r="B482" s="437"/>
      <c r="C482" s="438"/>
      <c r="D482" s="438"/>
      <c r="P482" s="389"/>
      <c r="Q482" s="391"/>
      <c r="AA482" s="389"/>
    </row>
    <row r="483" spans="2:27" s="327" customFormat="1">
      <c r="B483" s="437"/>
      <c r="C483" s="438"/>
      <c r="D483" s="438"/>
      <c r="P483" s="389"/>
      <c r="Q483" s="391"/>
      <c r="AA483" s="389"/>
    </row>
    <row r="484" spans="2:27" s="327" customFormat="1">
      <c r="B484" s="437"/>
      <c r="C484" s="438"/>
      <c r="D484" s="438"/>
      <c r="P484" s="389"/>
      <c r="Q484" s="391"/>
      <c r="AA484" s="389"/>
    </row>
    <row r="485" spans="2:27" s="327" customFormat="1">
      <c r="B485" s="437"/>
      <c r="C485" s="438"/>
      <c r="D485" s="438"/>
      <c r="P485" s="389"/>
      <c r="Q485" s="391"/>
      <c r="AA485" s="389"/>
    </row>
    <row r="486" spans="2:27" s="327" customFormat="1">
      <c r="B486" s="437"/>
      <c r="C486" s="438"/>
      <c r="D486" s="438"/>
      <c r="P486" s="389"/>
      <c r="Q486" s="391"/>
      <c r="AA486" s="389"/>
    </row>
    <row r="487" spans="2:27" s="327" customFormat="1">
      <c r="B487" s="437"/>
      <c r="C487" s="438"/>
      <c r="D487" s="438"/>
      <c r="P487" s="389"/>
      <c r="Q487" s="391"/>
      <c r="AA487" s="389"/>
    </row>
    <row r="488" spans="2:27" s="327" customFormat="1">
      <c r="B488" s="437"/>
      <c r="C488" s="438"/>
      <c r="D488" s="438"/>
      <c r="P488" s="389"/>
      <c r="Q488" s="391"/>
      <c r="AA488" s="389"/>
    </row>
    <row r="489" spans="2:27" s="327" customFormat="1">
      <c r="B489" s="437"/>
      <c r="C489" s="438"/>
      <c r="D489" s="438"/>
      <c r="P489" s="389"/>
      <c r="Q489" s="391"/>
      <c r="AA489" s="389"/>
    </row>
    <row r="490" spans="2:27" s="327" customFormat="1">
      <c r="B490" s="437"/>
      <c r="C490" s="438"/>
      <c r="D490" s="438"/>
      <c r="P490" s="389"/>
      <c r="Q490" s="391"/>
      <c r="AA490" s="389"/>
    </row>
    <row r="491" spans="2:27" s="327" customFormat="1">
      <c r="B491" s="437"/>
      <c r="C491" s="438"/>
      <c r="D491" s="438"/>
      <c r="P491" s="389"/>
      <c r="Q491" s="391"/>
      <c r="AA491" s="389"/>
    </row>
    <row r="492" spans="2:27" s="327" customFormat="1">
      <c r="B492" s="437"/>
      <c r="C492" s="438"/>
      <c r="D492" s="438"/>
      <c r="P492" s="389"/>
      <c r="Q492" s="391"/>
      <c r="AA492" s="389"/>
    </row>
    <row r="493" spans="2:27" s="327" customFormat="1">
      <c r="B493" s="437"/>
      <c r="C493" s="438"/>
      <c r="D493" s="438"/>
      <c r="P493" s="389"/>
      <c r="Q493" s="391"/>
      <c r="AA493" s="389"/>
    </row>
    <row r="494" spans="2:27" s="327" customFormat="1">
      <c r="B494" s="437"/>
      <c r="C494" s="438"/>
      <c r="D494" s="438"/>
      <c r="P494" s="389"/>
      <c r="Q494" s="391"/>
      <c r="AA494" s="389"/>
    </row>
    <row r="495" spans="2:27" s="327" customFormat="1">
      <c r="B495" s="437"/>
      <c r="C495" s="438"/>
      <c r="D495" s="438"/>
      <c r="P495" s="389"/>
      <c r="Q495" s="391"/>
      <c r="AA495" s="389"/>
    </row>
    <row r="496" spans="2:27" s="327" customFormat="1">
      <c r="B496" s="437"/>
      <c r="C496" s="438"/>
      <c r="D496" s="438"/>
      <c r="P496" s="389"/>
      <c r="Q496" s="391"/>
      <c r="AA496" s="389"/>
    </row>
    <row r="497" spans="2:27" s="327" customFormat="1">
      <c r="B497" s="437"/>
      <c r="C497" s="438"/>
      <c r="D497" s="438"/>
      <c r="P497" s="389"/>
      <c r="Q497" s="391"/>
      <c r="AA497" s="389"/>
    </row>
    <row r="498" spans="2:27" s="327" customFormat="1">
      <c r="B498" s="437"/>
      <c r="C498" s="438"/>
      <c r="D498" s="438"/>
      <c r="P498" s="389"/>
      <c r="Q498" s="391"/>
      <c r="AA498" s="389"/>
    </row>
    <row r="499" spans="2:27" s="327" customFormat="1">
      <c r="B499" s="437"/>
      <c r="C499" s="438"/>
      <c r="D499" s="438"/>
      <c r="P499" s="389"/>
      <c r="Q499" s="391"/>
      <c r="AA499" s="389"/>
    </row>
    <row r="500" spans="2:27" s="327" customFormat="1">
      <c r="B500" s="437"/>
      <c r="C500" s="438"/>
      <c r="D500" s="438"/>
      <c r="P500" s="389"/>
      <c r="Q500" s="391"/>
      <c r="AA500" s="389"/>
    </row>
    <row r="501" spans="2:27" s="327" customFormat="1">
      <c r="B501" s="437"/>
      <c r="C501" s="438"/>
      <c r="D501" s="438"/>
      <c r="P501" s="389"/>
      <c r="Q501" s="391"/>
      <c r="AA501" s="389"/>
    </row>
    <row r="502" spans="2:27" s="327" customFormat="1">
      <c r="B502" s="437"/>
      <c r="C502" s="438"/>
      <c r="D502" s="438"/>
      <c r="P502" s="389"/>
      <c r="Q502" s="391"/>
      <c r="AA502" s="389"/>
    </row>
    <row r="503" spans="2:27" s="327" customFormat="1">
      <c r="B503" s="437"/>
      <c r="C503" s="438"/>
      <c r="D503" s="438"/>
      <c r="P503" s="389"/>
      <c r="Q503" s="391"/>
      <c r="AA503" s="389"/>
    </row>
    <row r="504" spans="2:27" s="327" customFormat="1">
      <c r="B504" s="437"/>
      <c r="C504" s="438"/>
      <c r="D504" s="438"/>
      <c r="P504" s="389"/>
      <c r="Q504" s="391"/>
      <c r="AA504" s="389"/>
    </row>
    <row r="505" spans="2:27" s="327" customFormat="1">
      <c r="B505" s="437"/>
      <c r="C505" s="438"/>
      <c r="D505" s="438"/>
      <c r="P505" s="389"/>
      <c r="Q505" s="391"/>
      <c r="AA505" s="389"/>
    </row>
    <row r="506" spans="2:27" s="327" customFormat="1">
      <c r="B506" s="437"/>
      <c r="C506" s="438"/>
      <c r="D506" s="438"/>
      <c r="P506" s="389"/>
      <c r="Q506" s="391"/>
      <c r="AA506" s="389"/>
    </row>
    <row r="507" spans="2:27" s="327" customFormat="1">
      <c r="B507" s="437"/>
      <c r="C507" s="438"/>
      <c r="D507" s="438"/>
      <c r="P507" s="389"/>
      <c r="Q507" s="391"/>
      <c r="AA507" s="389"/>
    </row>
    <row r="508" spans="2:27" s="327" customFormat="1">
      <c r="B508" s="437"/>
      <c r="C508" s="438"/>
      <c r="D508" s="438"/>
      <c r="P508" s="389"/>
      <c r="Q508" s="391"/>
      <c r="AA508" s="389"/>
    </row>
    <row r="509" spans="2:27" s="327" customFormat="1">
      <c r="B509" s="437"/>
      <c r="C509" s="438"/>
      <c r="D509" s="438"/>
      <c r="P509" s="389"/>
      <c r="Q509" s="391"/>
      <c r="AA509" s="389"/>
    </row>
    <row r="510" spans="2:27" s="327" customFormat="1">
      <c r="B510" s="437"/>
      <c r="C510" s="438"/>
      <c r="D510" s="438"/>
      <c r="P510" s="389"/>
      <c r="Q510" s="391"/>
      <c r="AA510" s="389"/>
    </row>
    <row r="511" spans="2:27" s="327" customFormat="1">
      <c r="B511" s="437"/>
      <c r="C511" s="438"/>
      <c r="D511" s="438"/>
      <c r="P511" s="389"/>
      <c r="Q511" s="391"/>
      <c r="AA511" s="389"/>
    </row>
    <row r="512" spans="2:27" s="327" customFormat="1">
      <c r="B512" s="437"/>
      <c r="C512" s="438"/>
      <c r="D512" s="438"/>
      <c r="P512" s="389"/>
      <c r="Q512" s="391"/>
      <c r="AA512" s="389"/>
    </row>
    <row r="513" spans="2:27" s="327" customFormat="1">
      <c r="B513" s="437"/>
      <c r="C513" s="438"/>
      <c r="D513" s="438"/>
      <c r="P513" s="389"/>
      <c r="Q513" s="391"/>
      <c r="AA513" s="389"/>
    </row>
    <row r="514" spans="2:27" s="327" customFormat="1">
      <c r="B514" s="437"/>
      <c r="C514" s="438"/>
      <c r="D514" s="438"/>
      <c r="P514" s="389"/>
      <c r="Q514" s="391"/>
      <c r="AA514" s="389"/>
    </row>
    <row r="515" spans="2:27" s="327" customFormat="1">
      <c r="B515" s="437"/>
      <c r="C515" s="438"/>
      <c r="D515" s="438"/>
      <c r="P515" s="389"/>
      <c r="Q515" s="391"/>
      <c r="AA515" s="389"/>
    </row>
    <row r="516" spans="2:27" s="327" customFormat="1">
      <c r="B516" s="437"/>
      <c r="C516" s="438"/>
      <c r="D516" s="438"/>
      <c r="P516" s="389"/>
      <c r="Q516" s="391"/>
      <c r="AA516" s="389"/>
    </row>
    <row r="517" spans="2:27" s="327" customFormat="1">
      <c r="B517" s="437"/>
      <c r="C517" s="438"/>
      <c r="D517" s="438"/>
      <c r="P517" s="389"/>
      <c r="Q517" s="391"/>
      <c r="AA517" s="389"/>
    </row>
    <row r="518" spans="2:27" s="327" customFormat="1">
      <c r="B518" s="437"/>
      <c r="C518" s="438"/>
      <c r="D518" s="438"/>
      <c r="P518" s="389"/>
      <c r="Q518" s="391"/>
      <c r="AA518" s="389"/>
    </row>
    <row r="519" spans="2:27" s="327" customFormat="1">
      <c r="B519" s="437"/>
      <c r="C519" s="438"/>
      <c r="D519" s="438"/>
      <c r="P519" s="389"/>
      <c r="Q519" s="391"/>
      <c r="AA519" s="389"/>
    </row>
    <row r="520" spans="2:27" s="327" customFormat="1">
      <c r="B520" s="437"/>
      <c r="C520" s="438"/>
      <c r="D520" s="438"/>
      <c r="P520" s="389"/>
      <c r="Q520" s="391"/>
      <c r="AA520" s="389"/>
    </row>
    <row r="521" spans="2:27" s="327" customFormat="1">
      <c r="B521" s="437"/>
      <c r="C521" s="438"/>
      <c r="D521" s="438"/>
      <c r="P521" s="389"/>
      <c r="Q521" s="391"/>
      <c r="AA521" s="389"/>
    </row>
    <row r="522" spans="2:27" s="327" customFormat="1">
      <c r="B522" s="437"/>
      <c r="C522" s="438"/>
      <c r="D522" s="438"/>
      <c r="P522" s="389"/>
      <c r="Q522" s="391"/>
      <c r="AA522" s="389"/>
    </row>
    <row r="523" spans="2:27" s="327" customFormat="1">
      <c r="B523" s="437"/>
      <c r="C523" s="438"/>
      <c r="D523" s="438"/>
      <c r="P523" s="389"/>
      <c r="Q523" s="391"/>
      <c r="AA523" s="389"/>
    </row>
    <row r="524" spans="2:27" s="327" customFormat="1">
      <c r="B524" s="437"/>
      <c r="C524" s="438"/>
      <c r="D524" s="438"/>
      <c r="P524" s="389"/>
      <c r="Q524" s="391"/>
      <c r="AA524" s="389"/>
    </row>
    <row r="525" spans="2:27" s="327" customFormat="1">
      <c r="B525" s="437"/>
      <c r="C525" s="438"/>
      <c r="D525" s="438"/>
      <c r="P525" s="389"/>
      <c r="Q525" s="391"/>
      <c r="AA525" s="389"/>
    </row>
    <row r="526" spans="2:27" s="327" customFormat="1">
      <c r="B526" s="437"/>
      <c r="C526" s="438"/>
      <c r="D526" s="438"/>
      <c r="P526" s="389"/>
      <c r="Q526" s="391"/>
      <c r="AA526" s="389"/>
    </row>
    <row r="527" spans="2:27" s="327" customFormat="1">
      <c r="B527" s="437"/>
      <c r="C527" s="438"/>
      <c r="D527" s="438"/>
      <c r="P527" s="389"/>
      <c r="Q527" s="391"/>
      <c r="AA527" s="389"/>
    </row>
    <row r="528" spans="2:27" s="327" customFormat="1">
      <c r="B528" s="437"/>
      <c r="C528" s="438"/>
      <c r="D528" s="438"/>
      <c r="P528" s="389"/>
      <c r="Q528" s="391"/>
      <c r="AA528" s="389"/>
    </row>
    <row r="529" spans="2:27" s="327" customFormat="1">
      <c r="B529" s="437"/>
      <c r="C529" s="438"/>
      <c r="D529" s="438"/>
      <c r="P529" s="389"/>
      <c r="Q529" s="391"/>
      <c r="AA529" s="389"/>
    </row>
    <row r="530" spans="2:27" s="327" customFormat="1">
      <c r="B530" s="437"/>
      <c r="C530" s="438"/>
      <c r="D530" s="438"/>
      <c r="P530" s="389"/>
      <c r="Q530" s="391"/>
      <c r="AA530" s="389"/>
    </row>
    <row r="531" spans="2:27" s="327" customFormat="1">
      <c r="B531" s="437"/>
      <c r="C531" s="438"/>
      <c r="D531" s="438"/>
      <c r="P531" s="389"/>
      <c r="Q531" s="391"/>
      <c r="AA531" s="389"/>
    </row>
    <row r="532" spans="2:27" s="327" customFormat="1">
      <c r="B532" s="437"/>
      <c r="C532" s="438"/>
      <c r="D532" s="438"/>
      <c r="P532" s="389"/>
      <c r="Q532" s="391"/>
      <c r="AA532" s="389"/>
    </row>
    <row r="533" spans="2:27" s="327" customFormat="1">
      <c r="B533" s="437"/>
      <c r="C533" s="438"/>
      <c r="D533" s="438"/>
      <c r="P533" s="389"/>
      <c r="Q533" s="391"/>
      <c r="AA533" s="389"/>
    </row>
    <row r="534" spans="2:27" s="327" customFormat="1">
      <c r="B534" s="437"/>
      <c r="C534" s="438"/>
      <c r="D534" s="438"/>
      <c r="P534" s="389"/>
      <c r="Q534" s="391"/>
      <c r="AA534" s="389"/>
    </row>
    <row r="535" spans="2:27" s="327" customFormat="1">
      <c r="B535" s="437"/>
      <c r="C535" s="438"/>
      <c r="D535" s="438"/>
      <c r="P535" s="389"/>
      <c r="Q535" s="391"/>
      <c r="AA535" s="389"/>
    </row>
    <row r="536" spans="2:27" s="327" customFormat="1">
      <c r="B536" s="437"/>
      <c r="C536" s="438"/>
      <c r="D536" s="438"/>
      <c r="P536" s="389"/>
      <c r="Q536" s="391"/>
      <c r="AA536" s="389"/>
    </row>
    <row r="537" spans="2:27" s="327" customFormat="1">
      <c r="B537" s="437"/>
      <c r="C537" s="438"/>
      <c r="D537" s="438"/>
      <c r="P537" s="389"/>
      <c r="Q537" s="391"/>
      <c r="AA537" s="389"/>
    </row>
    <row r="538" spans="2:27" s="327" customFormat="1">
      <c r="B538" s="437"/>
      <c r="C538" s="438"/>
      <c r="D538" s="438"/>
      <c r="P538" s="389"/>
      <c r="Q538" s="391"/>
      <c r="AA538" s="389"/>
    </row>
    <row r="539" spans="2:27" s="327" customFormat="1">
      <c r="B539" s="437"/>
      <c r="C539" s="438"/>
      <c r="D539" s="438"/>
      <c r="P539" s="389"/>
      <c r="Q539" s="391"/>
      <c r="AA539" s="389"/>
    </row>
    <row r="540" spans="2:27" s="327" customFormat="1">
      <c r="B540" s="437"/>
      <c r="C540" s="438"/>
      <c r="D540" s="438"/>
      <c r="P540" s="389"/>
      <c r="Q540" s="391"/>
      <c r="AA540" s="389"/>
    </row>
    <row r="541" spans="2:27" s="327" customFormat="1">
      <c r="B541" s="437"/>
      <c r="C541" s="438"/>
      <c r="D541" s="438"/>
      <c r="P541" s="389"/>
      <c r="Q541" s="391"/>
      <c r="AA541" s="389"/>
    </row>
    <row r="542" spans="2:27" s="327" customFormat="1">
      <c r="B542" s="437"/>
      <c r="C542" s="438"/>
      <c r="D542" s="438"/>
      <c r="P542" s="389"/>
      <c r="Q542" s="391"/>
      <c r="AA542" s="389"/>
    </row>
    <row r="543" spans="2:27" s="327" customFormat="1">
      <c r="B543" s="437"/>
      <c r="C543" s="438"/>
      <c r="D543" s="438"/>
      <c r="P543" s="389"/>
      <c r="Q543" s="391"/>
      <c r="AA543" s="389"/>
    </row>
    <row r="544" spans="2:27" s="327" customFormat="1">
      <c r="B544" s="437"/>
      <c r="C544" s="438"/>
      <c r="D544" s="438"/>
      <c r="P544" s="389"/>
      <c r="Q544" s="391"/>
      <c r="AA544" s="389"/>
    </row>
    <row r="545" spans="2:27" s="327" customFormat="1">
      <c r="B545" s="437"/>
      <c r="C545" s="438"/>
      <c r="D545" s="438"/>
      <c r="P545" s="389"/>
      <c r="Q545" s="391"/>
      <c r="AA545" s="389"/>
    </row>
    <row r="546" spans="2:27" s="327" customFormat="1">
      <c r="B546" s="437"/>
      <c r="C546" s="438"/>
      <c r="D546" s="438"/>
      <c r="P546" s="389"/>
      <c r="Q546" s="391"/>
      <c r="AA546" s="389"/>
    </row>
    <row r="547" spans="2:27" s="327" customFormat="1">
      <c r="B547" s="437"/>
      <c r="C547" s="438"/>
      <c r="D547" s="438"/>
      <c r="P547" s="389"/>
      <c r="Q547" s="391"/>
      <c r="AA547" s="389"/>
    </row>
    <row r="548" spans="2:27" s="327" customFormat="1">
      <c r="B548" s="437"/>
      <c r="C548" s="438"/>
      <c r="D548" s="438"/>
      <c r="P548" s="389"/>
      <c r="Q548" s="391"/>
      <c r="AA548" s="389"/>
    </row>
    <row r="549" spans="2:27" s="327" customFormat="1">
      <c r="B549" s="437"/>
      <c r="C549" s="438"/>
      <c r="D549" s="438"/>
      <c r="P549" s="389"/>
      <c r="Q549" s="391"/>
      <c r="AA549" s="389"/>
    </row>
    <row r="550" spans="2:27" s="327" customFormat="1">
      <c r="B550" s="437"/>
      <c r="C550" s="438"/>
      <c r="D550" s="438"/>
      <c r="P550" s="389"/>
      <c r="Q550" s="391"/>
      <c r="AA550" s="389"/>
    </row>
    <row r="551" spans="2:27" s="327" customFormat="1">
      <c r="B551" s="437"/>
      <c r="C551" s="438"/>
      <c r="D551" s="438"/>
      <c r="P551" s="389"/>
      <c r="Q551" s="391"/>
      <c r="AA551" s="389"/>
    </row>
    <row r="552" spans="2:27" s="327" customFormat="1">
      <c r="B552" s="437"/>
      <c r="C552" s="438"/>
      <c r="D552" s="438"/>
      <c r="P552" s="389"/>
      <c r="Q552" s="391"/>
      <c r="AA552" s="389"/>
    </row>
    <row r="553" spans="2:27" s="327" customFormat="1">
      <c r="B553" s="437"/>
      <c r="C553" s="438"/>
      <c r="D553" s="438"/>
      <c r="P553" s="389"/>
      <c r="Q553" s="391"/>
      <c r="AA553" s="389"/>
    </row>
    <row r="554" spans="2:27" s="327" customFormat="1">
      <c r="B554" s="437"/>
      <c r="C554" s="438"/>
      <c r="D554" s="438"/>
      <c r="P554" s="389"/>
      <c r="Q554" s="391"/>
      <c r="AA554" s="389"/>
    </row>
    <row r="555" spans="2:27" s="327" customFormat="1">
      <c r="B555" s="437"/>
      <c r="C555" s="438"/>
      <c r="D555" s="438"/>
      <c r="P555" s="389"/>
      <c r="Q555" s="391"/>
      <c r="AA555" s="389"/>
    </row>
    <row r="556" spans="2:27" s="327" customFormat="1">
      <c r="B556" s="437"/>
      <c r="C556" s="438"/>
      <c r="D556" s="438"/>
      <c r="P556" s="389"/>
      <c r="Q556" s="391"/>
      <c r="AA556" s="389"/>
    </row>
    <row r="557" spans="2:27" s="327" customFormat="1">
      <c r="B557" s="437"/>
      <c r="C557" s="438"/>
      <c r="D557" s="438"/>
      <c r="P557" s="389"/>
      <c r="Q557" s="391"/>
      <c r="AA557" s="389"/>
    </row>
    <row r="558" spans="2:27" s="327" customFormat="1">
      <c r="B558" s="437"/>
      <c r="C558" s="438"/>
      <c r="D558" s="438"/>
      <c r="P558" s="389"/>
      <c r="Q558" s="391"/>
      <c r="AA558" s="389"/>
    </row>
    <row r="559" spans="2:27" s="327" customFormat="1">
      <c r="B559" s="437"/>
      <c r="C559" s="438"/>
      <c r="D559" s="438"/>
      <c r="P559" s="389"/>
      <c r="Q559" s="391"/>
      <c r="AA559" s="389"/>
    </row>
    <row r="560" spans="2:27" s="327" customFormat="1">
      <c r="B560" s="437"/>
      <c r="C560" s="438"/>
      <c r="D560" s="438"/>
      <c r="P560" s="389"/>
      <c r="Q560" s="391"/>
      <c r="AA560" s="389"/>
    </row>
    <row r="561" spans="2:27" s="327" customFormat="1">
      <c r="B561" s="437"/>
      <c r="C561" s="438"/>
      <c r="D561" s="438"/>
      <c r="P561" s="389"/>
      <c r="Q561" s="391"/>
      <c r="AA561" s="389"/>
    </row>
    <row r="562" spans="2:27" s="327" customFormat="1">
      <c r="B562" s="437"/>
      <c r="C562" s="438"/>
      <c r="D562" s="438"/>
      <c r="P562" s="389"/>
      <c r="Q562" s="391"/>
      <c r="AA562" s="389"/>
    </row>
    <row r="563" spans="2:27" s="327" customFormat="1">
      <c r="B563" s="437"/>
      <c r="C563" s="438"/>
      <c r="D563" s="438"/>
      <c r="P563" s="389"/>
      <c r="Q563" s="391"/>
      <c r="AA563" s="389"/>
    </row>
    <row r="564" spans="2:27" s="327" customFormat="1">
      <c r="B564" s="437"/>
      <c r="C564" s="438"/>
      <c r="D564" s="438"/>
      <c r="P564" s="389"/>
      <c r="Q564" s="391"/>
      <c r="AA564" s="389"/>
    </row>
    <row r="565" spans="2:27" s="327" customFormat="1">
      <c r="B565" s="437"/>
      <c r="C565" s="438"/>
      <c r="D565" s="438"/>
      <c r="P565" s="389"/>
      <c r="Q565" s="391"/>
      <c r="AA565" s="389"/>
    </row>
    <row r="566" spans="2:27" s="327" customFormat="1">
      <c r="B566" s="437"/>
      <c r="C566" s="438"/>
      <c r="D566" s="438"/>
      <c r="P566" s="389"/>
      <c r="Q566" s="391"/>
      <c r="AA566" s="389"/>
    </row>
    <row r="567" spans="2:27" s="327" customFormat="1">
      <c r="B567" s="437"/>
      <c r="C567" s="438"/>
      <c r="D567" s="438"/>
      <c r="P567" s="389"/>
      <c r="Q567" s="391"/>
      <c r="AA567" s="389"/>
    </row>
    <row r="568" spans="2:27" s="327" customFormat="1">
      <c r="B568" s="437"/>
      <c r="C568" s="438"/>
      <c r="D568" s="438"/>
      <c r="P568" s="389"/>
      <c r="Q568" s="391"/>
      <c r="AA568" s="389"/>
    </row>
    <row r="569" spans="2:27" s="327" customFormat="1">
      <c r="B569" s="437"/>
      <c r="C569" s="438"/>
      <c r="D569" s="438"/>
      <c r="P569" s="389"/>
      <c r="Q569" s="391"/>
      <c r="AA569" s="389"/>
    </row>
    <row r="570" spans="2:27" s="327" customFormat="1">
      <c r="B570" s="437"/>
      <c r="C570" s="438"/>
      <c r="D570" s="438"/>
      <c r="P570" s="389"/>
      <c r="Q570" s="391"/>
      <c r="AA570" s="389"/>
    </row>
    <row r="571" spans="2:27" s="327" customFormat="1">
      <c r="B571" s="437"/>
      <c r="C571" s="438"/>
      <c r="D571" s="438"/>
      <c r="P571" s="389"/>
      <c r="Q571" s="391"/>
      <c r="AA571" s="389"/>
    </row>
    <row r="572" spans="2:27" s="327" customFormat="1">
      <c r="B572" s="437"/>
      <c r="C572" s="438"/>
      <c r="D572" s="438"/>
      <c r="P572" s="389"/>
      <c r="Q572" s="391"/>
      <c r="AA572" s="389"/>
    </row>
    <row r="573" spans="2:27" s="327" customFormat="1">
      <c r="B573" s="437"/>
      <c r="C573" s="438"/>
      <c r="D573" s="438"/>
      <c r="P573" s="389"/>
      <c r="Q573" s="391"/>
      <c r="AA573" s="389"/>
    </row>
    <row r="574" spans="2:27" s="327" customFormat="1">
      <c r="B574" s="437"/>
      <c r="C574" s="438"/>
      <c r="D574" s="438"/>
      <c r="P574" s="389"/>
      <c r="Q574" s="391"/>
      <c r="AA574" s="389"/>
    </row>
    <row r="575" spans="2:27" s="327" customFormat="1">
      <c r="B575" s="437"/>
      <c r="C575" s="438"/>
      <c r="D575" s="438"/>
      <c r="P575" s="389"/>
      <c r="Q575" s="391"/>
      <c r="AA575" s="389"/>
    </row>
    <row r="576" spans="2:27" s="327" customFormat="1">
      <c r="B576" s="437"/>
      <c r="C576" s="438"/>
      <c r="D576" s="438"/>
      <c r="P576" s="389"/>
      <c r="Q576" s="391"/>
      <c r="AA576" s="389"/>
    </row>
    <row r="577" spans="2:27" s="327" customFormat="1">
      <c r="B577" s="437"/>
      <c r="C577" s="438"/>
      <c r="D577" s="438"/>
      <c r="P577" s="389"/>
      <c r="Q577" s="391"/>
      <c r="AA577" s="389"/>
    </row>
    <row r="578" spans="2:27" s="327" customFormat="1">
      <c r="B578" s="437"/>
      <c r="C578" s="438"/>
      <c r="D578" s="438"/>
      <c r="P578" s="389"/>
      <c r="Q578" s="391"/>
      <c r="AA578" s="389"/>
    </row>
    <row r="579" spans="2:27" s="327" customFormat="1">
      <c r="B579" s="437"/>
      <c r="C579" s="438"/>
      <c r="D579" s="438"/>
      <c r="P579" s="389"/>
      <c r="Q579" s="391"/>
      <c r="AA579" s="389"/>
    </row>
    <row r="580" spans="2:27" s="327" customFormat="1">
      <c r="B580" s="437"/>
      <c r="C580" s="438"/>
      <c r="D580" s="438"/>
      <c r="P580" s="389"/>
      <c r="Q580" s="391"/>
      <c r="AA580" s="389"/>
    </row>
    <row r="581" spans="2:27" s="327" customFormat="1">
      <c r="B581" s="437"/>
      <c r="C581" s="438"/>
      <c r="D581" s="438"/>
      <c r="P581" s="389"/>
      <c r="Q581" s="391"/>
      <c r="AA581" s="389"/>
    </row>
    <row r="582" spans="2:27" s="327" customFormat="1">
      <c r="B582" s="437"/>
      <c r="C582" s="438"/>
      <c r="D582" s="438"/>
      <c r="P582" s="389"/>
      <c r="Q582" s="391"/>
      <c r="AA582" s="389"/>
    </row>
    <row r="583" spans="2:27" s="327" customFormat="1">
      <c r="B583" s="437"/>
      <c r="C583" s="438"/>
      <c r="D583" s="438"/>
      <c r="P583" s="389"/>
      <c r="Q583" s="391"/>
      <c r="AA583" s="389"/>
    </row>
    <row r="584" spans="2:27" s="327" customFormat="1">
      <c r="B584" s="437"/>
      <c r="C584" s="438"/>
      <c r="D584" s="438"/>
      <c r="P584" s="389"/>
      <c r="Q584" s="391"/>
      <c r="AA584" s="389"/>
    </row>
    <row r="585" spans="2:27" s="327" customFormat="1">
      <c r="B585" s="437"/>
      <c r="C585" s="438"/>
      <c r="D585" s="438"/>
      <c r="P585" s="389"/>
      <c r="Q585" s="391"/>
      <c r="AA585" s="389"/>
    </row>
    <row r="586" spans="2:27" s="327" customFormat="1">
      <c r="B586" s="437"/>
      <c r="C586" s="438"/>
      <c r="D586" s="438"/>
      <c r="P586" s="389"/>
      <c r="Q586" s="391"/>
      <c r="AA586" s="389"/>
    </row>
    <row r="587" spans="2:27" s="327" customFormat="1">
      <c r="B587" s="437"/>
      <c r="C587" s="438"/>
      <c r="D587" s="438"/>
      <c r="P587" s="389"/>
      <c r="Q587" s="391"/>
      <c r="AA587" s="389"/>
    </row>
    <row r="588" spans="2:27" s="327" customFormat="1">
      <c r="B588" s="437"/>
      <c r="C588" s="438"/>
      <c r="D588" s="438"/>
      <c r="P588" s="389"/>
      <c r="Q588" s="391"/>
      <c r="AA588" s="389"/>
    </row>
    <row r="589" spans="2:27" s="327" customFormat="1">
      <c r="B589" s="437"/>
      <c r="C589" s="438"/>
      <c r="D589" s="438"/>
      <c r="P589" s="389"/>
      <c r="Q589" s="391"/>
      <c r="AA589" s="389"/>
    </row>
    <row r="590" spans="2:27" s="327" customFormat="1">
      <c r="B590" s="437"/>
      <c r="C590" s="438"/>
      <c r="D590" s="438"/>
      <c r="P590" s="389"/>
      <c r="Q590" s="391"/>
      <c r="AA590" s="389"/>
    </row>
    <row r="591" spans="2:27" s="327" customFormat="1">
      <c r="B591" s="437"/>
      <c r="C591" s="438"/>
      <c r="D591" s="438"/>
      <c r="P591" s="389"/>
      <c r="Q591" s="391"/>
      <c r="AA591" s="389"/>
    </row>
    <row r="592" spans="2:27" s="327" customFormat="1">
      <c r="B592" s="437"/>
      <c r="C592" s="438"/>
      <c r="D592" s="438"/>
      <c r="P592" s="389"/>
      <c r="Q592" s="391"/>
      <c r="AA592" s="389"/>
    </row>
    <row r="593" spans="2:27" s="327" customFormat="1">
      <c r="B593" s="437"/>
      <c r="C593" s="438"/>
      <c r="D593" s="438"/>
      <c r="P593" s="389"/>
      <c r="Q593" s="391"/>
      <c r="AA593" s="389"/>
    </row>
    <row r="594" spans="2:27" s="327" customFormat="1">
      <c r="B594" s="437"/>
      <c r="C594" s="438"/>
      <c r="D594" s="438"/>
      <c r="P594" s="389"/>
      <c r="Q594" s="391"/>
      <c r="AA594" s="389"/>
    </row>
    <row r="595" spans="2:27" s="327" customFormat="1">
      <c r="B595" s="437"/>
      <c r="C595" s="438"/>
      <c r="D595" s="438"/>
      <c r="P595" s="389"/>
      <c r="Q595" s="391"/>
      <c r="AA595" s="389"/>
    </row>
    <row r="596" spans="2:27" s="327" customFormat="1">
      <c r="B596" s="437"/>
      <c r="C596" s="438"/>
      <c r="D596" s="438"/>
      <c r="P596" s="389"/>
      <c r="Q596" s="391"/>
      <c r="AA596" s="389"/>
    </row>
    <row r="597" spans="2:27" s="327" customFormat="1">
      <c r="B597" s="437"/>
      <c r="C597" s="438"/>
      <c r="D597" s="438"/>
      <c r="P597" s="389"/>
      <c r="Q597" s="391"/>
      <c r="AA597" s="389"/>
    </row>
  </sheetData>
  <protectedRanges>
    <protectedRange sqref="A1" name="filter columns"/>
    <protectedRange sqref="J3:P432 F3:F432" name="input cells CPs"/>
  </protectedRanges>
  <autoFilter ref="A1:O432" xr:uid="{00000000-0009-0000-0000-000002000000}">
    <filterColumn colId="2">
      <filters>
        <filter val="1.3 Operations"/>
      </filters>
    </filterColumn>
    <filterColumn colId="6">
      <filters>
        <filter val="CPs"/>
        <filter val="CPs / Stakeholders"/>
        <filter val="CPs/Stakeholders"/>
      </filters>
    </filterColumn>
  </autoFilter>
  <dataValidations count="1">
    <dataValidation type="textLength" operator="lessThan" allowBlank="1" showInputMessage="1" showErrorMessage="1" sqref="P1:P34 AA1:AA432 P36:P232 P234:P432" xr:uid="{BA9F3602-4CBC-46A8-850A-E84895630395}">
      <formula1>256</formula1>
      <formula2>0</formula2>
    </dataValidation>
  </dataValidations>
  <pageMargins left="0.7" right="0.7" top="0.75" bottom="0.75" header="0.51180555555555496" footer="0.51180555555555496"/>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C26F4-F93C-4489-8418-139C3E73D33D}">
  <sheetPr filterMode="1"/>
  <dimension ref="A1:AMJ597"/>
  <sheetViews>
    <sheetView workbookViewId="0"/>
  </sheetViews>
  <sheetFormatPr defaultColWidth="9.140625" defaultRowHeight="15.75"/>
  <cols>
    <col min="1" max="1" width="9.140625" style="389"/>
    <col min="2" max="2" width="13.28515625" style="439" customWidth="1"/>
    <col min="3" max="3" width="13.5703125" style="440" customWidth="1"/>
    <col min="4" max="4" width="10" style="440" customWidth="1"/>
    <col min="5" max="5" width="60.42578125" style="389" customWidth="1"/>
    <col min="6" max="6" width="25.85546875" style="389" customWidth="1"/>
    <col min="7" max="7" width="14.140625" style="389" customWidth="1"/>
    <col min="8" max="8" width="28" style="389" customWidth="1"/>
    <col min="9" max="9" width="15.85546875" style="389" customWidth="1"/>
    <col min="10" max="11" width="19.5703125" style="389" customWidth="1"/>
    <col min="12" max="13" width="16.140625" style="389" customWidth="1"/>
    <col min="14" max="14" width="20.5703125" style="389" customWidth="1"/>
    <col min="15" max="15" width="19.85546875" style="389" customWidth="1"/>
    <col min="16" max="16" width="20.85546875" style="389" customWidth="1"/>
    <col min="17" max="17" width="11.5703125" style="391" hidden="1" customWidth="1"/>
    <col min="18" max="26" width="14.140625" style="327" hidden="1" customWidth="1"/>
    <col min="27" max="27" width="20.85546875" style="389" hidden="1" customWidth="1"/>
    <col min="28" max="51" width="9.140625" style="327"/>
    <col min="52" max="1024" width="9.140625" style="389"/>
    <col min="1025" max="16384" width="9.140625" style="441"/>
  </cols>
  <sheetData>
    <row r="1" spans="1:27" ht="34.5" customHeight="1">
      <c r="A1" s="323" t="s">
        <v>2934</v>
      </c>
      <c r="B1" s="324" t="s">
        <v>2935</v>
      </c>
      <c r="C1" s="323" t="s">
        <v>30</v>
      </c>
      <c r="D1" s="323" t="s">
        <v>2936</v>
      </c>
      <c r="E1" s="323" t="s">
        <v>2937</v>
      </c>
      <c r="F1" s="323" t="s">
        <v>2938</v>
      </c>
      <c r="G1" s="323" t="s">
        <v>2939</v>
      </c>
      <c r="H1" s="323" t="s">
        <v>2940</v>
      </c>
      <c r="I1" s="323" t="s">
        <v>2941</v>
      </c>
      <c r="J1" s="323" t="s">
        <v>2942</v>
      </c>
      <c r="K1" s="323" t="s">
        <v>2943</v>
      </c>
      <c r="L1" s="323" t="s">
        <v>2944</v>
      </c>
      <c r="M1" s="323" t="s">
        <v>2945</v>
      </c>
      <c r="N1" s="323" t="s">
        <v>2946</v>
      </c>
      <c r="O1" s="323" t="s">
        <v>2947</v>
      </c>
      <c r="P1" s="323" t="s">
        <v>2948</v>
      </c>
      <c r="Q1" s="325"/>
      <c r="R1" s="326" t="s">
        <v>44</v>
      </c>
      <c r="S1" s="323" t="s">
        <v>45</v>
      </c>
      <c r="T1" s="323" t="s">
        <v>46</v>
      </c>
      <c r="U1" s="323" t="s">
        <v>47</v>
      </c>
      <c r="V1" s="323" t="s">
        <v>48</v>
      </c>
      <c r="W1" s="323" t="s">
        <v>39</v>
      </c>
      <c r="X1" s="323" t="s">
        <v>49</v>
      </c>
      <c r="Y1" s="323" t="s">
        <v>50</v>
      </c>
      <c r="Z1" s="323" t="s">
        <v>51</v>
      </c>
      <c r="AA1" s="323" t="s">
        <v>43</v>
      </c>
    </row>
    <row r="2" spans="1:27" ht="21.75" hidden="1" customHeight="1">
      <c r="A2" s="328" t="s">
        <v>2949</v>
      </c>
      <c r="B2" s="329"/>
      <c r="C2" s="330"/>
      <c r="D2" s="330"/>
      <c r="E2" s="330"/>
      <c r="F2" s="330"/>
      <c r="G2" s="330"/>
      <c r="H2" s="330"/>
      <c r="I2" s="330"/>
      <c r="J2" s="330"/>
      <c r="K2" s="330"/>
      <c r="L2" s="330"/>
      <c r="M2" s="330"/>
      <c r="N2" s="330"/>
      <c r="O2" s="330"/>
      <c r="P2" s="331"/>
      <c r="Q2" s="332"/>
      <c r="R2" s="333"/>
      <c r="S2" s="330"/>
      <c r="T2" s="330"/>
      <c r="U2" s="330"/>
      <c r="V2" s="330"/>
      <c r="W2" s="330"/>
      <c r="X2" s="330"/>
      <c r="Y2" s="330"/>
      <c r="Z2" s="330"/>
      <c r="AA2" s="330"/>
    </row>
    <row r="3" spans="1:27" ht="31.5" hidden="1">
      <c r="A3" s="334" t="s">
        <v>2950</v>
      </c>
      <c r="B3" s="335" t="s">
        <v>2951</v>
      </c>
      <c r="C3" s="334" t="s">
        <v>2952</v>
      </c>
      <c r="D3" s="334" t="s">
        <v>56</v>
      </c>
      <c r="E3" s="334" t="s">
        <v>2953</v>
      </c>
      <c r="F3" s="442"/>
      <c r="G3" s="442" t="s">
        <v>2954</v>
      </c>
      <c r="H3" s="442" t="s">
        <v>2955</v>
      </c>
      <c r="I3" s="443">
        <v>1</v>
      </c>
      <c r="J3" s="442"/>
      <c r="K3" s="442"/>
      <c r="L3" s="444"/>
      <c r="M3" s="442"/>
      <c r="N3" s="442"/>
      <c r="O3" s="445"/>
      <c r="P3" s="442"/>
      <c r="Q3" s="340"/>
      <c r="R3" s="446"/>
      <c r="S3" s="442"/>
      <c r="T3" s="442"/>
      <c r="U3" s="442"/>
      <c r="V3" s="442"/>
      <c r="W3" s="442"/>
      <c r="X3" s="442"/>
      <c r="Y3" s="442"/>
      <c r="Z3" s="442"/>
      <c r="AA3" s="442"/>
    </row>
    <row r="4" spans="1:27" ht="47.25" hidden="1">
      <c r="A4" s="334" t="s">
        <v>2950</v>
      </c>
      <c r="B4" s="335" t="s">
        <v>2951</v>
      </c>
      <c r="C4" s="334" t="s">
        <v>2952</v>
      </c>
      <c r="D4" s="334" t="s">
        <v>60</v>
      </c>
      <c r="E4" s="342" t="s">
        <v>2657</v>
      </c>
      <c r="F4" s="334" t="s">
        <v>2956</v>
      </c>
      <c r="G4" s="334" t="s">
        <v>2957</v>
      </c>
      <c r="H4" s="334" t="s">
        <v>2955</v>
      </c>
      <c r="I4" s="343">
        <v>1</v>
      </c>
      <c r="J4" s="343" t="s">
        <v>2958</v>
      </c>
      <c r="K4" s="343"/>
      <c r="L4" s="344"/>
      <c r="M4" s="343"/>
      <c r="N4" s="343"/>
      <c r="O4" s="345"/>
      <c r="P4" s="334" t="s">
        <v>2959</v>
      </c>
      <c r="Q4" s="346"/>
      <c r="R4" s="347"/>
      <c r="S4" s="343"/>
      <c r="T4" s="343"/>
      <c r="U4" s="343"/>
      <c r="V4" s="343"/>
      <c r="W4" s="343"/>
      <c r="X4" s="343"/>
      <c r="Y4" s="343"/>
      <c r="Z4" s="343"/>
      <c r="AA4" s="334"/>
    </row>
    <row r="5" spans="1:27" ht="47.25" hidden="1">
      <c r="A5" s="334" t="s">
        <v>2950</v>
      </c>
      <c r="B5" s="335" t="s">
        <v>2951</v>
      </c>
      <c r="C5" s="334" t="s">
        <v>2952</v>
      </c>
      <c r="D5" s="334" t="s">
        <v>63</v>
      </c>
      <c r="E5" s="348" t="s">
        <v>2960</v>
      </c>
      <c r="F5" s="334" t="s">
        <v>2961</v>
      </c>
      <c r="G5" s="334" t="s">
        <v>2957</v>
      </c>
      <c r="H5" s="334" t="s">
        <v>2955</v>
      </c>
      <c r="I5" s="343">
        <v>1</v>
      </c>
      <c r="J5" s="343" t="s">
        <v>2958</v>
      </c>
      <c r="K5" s="343"/>
      <c r="L5" s="344"/>
      <c r="M5" s="343"/>
      <c r="N5" s="343"/>
      <c r="O5" s="345"/>
      <c r="P5" s="334"/>
      <c r="Q5" s="346"/>
      <c r="R5" s="347"/>
      <c r="S5" s="343"/>
      <c r="T5" s="343"/>
      <c r="U5" s="343"/>
      <c r="V5" s="343"/>
      <c r="W5" s="343"/>
      <c r="X5" s="343"/>
      <c r="Y5" s="343"/>
      <c r="Z5" s="343"/>
      <c r="AA5" s="334"/>
    </row>
    <row r="6" spans="1:27" ht="47.25" hidden="1">
      <c r="A6" s="334" t="s">
        <v>2950</v>
      </c>
      <c r="B6" s="335" t="s">
        <v>2951</v>
      </c>
      <c r="C6" s="334" t="s">
        <v>2952</v>
      </c>
      <c r="D6" s="334" t="s">
        <v>65</v>
      </c>
      <c r="E6" s="348" t="s">
        <v>2962</v>
      </c>
      <c r="F6" s="334" t="s">
        <v>2956</v>
      </c>
      <c r="G6" s="334" t="s">
        <v>2957</v>
      </c>
      <c r="H6" s="334" t="s">
        <v>2955</v>
      </c>
      <c r="I6" s="343">
        <v>1</v>
      </c>
      <c r="J6" s="343" t="s">
        <v>2958</v>
      </c>
      <c r="K6" s="343"/>
      <c r="L6" s="344"/>
      <c r="M6" s="343"/>
      <c r="N6" s="343"/>
      <c r="O6" s="345"/>
      <c r="P6" s="334"/>
      <c r="Q6" s="346"/>
      <c r="R6" s="347"/>
      <c r="S6" s="343"/>
      <c r="T6" s="343"/>
      <c r="U6" s="343"/>
      <c r="V6" s="343"/>
      <c r="W6" s="343"/>
      <c r="X6" s="343"/>
      <c r="Y6" s="343"/>
      <c r="Z6" s="343"/>
      <c r="AA6" s="334"/>
    </row>
    <row r="7" spans="1:27" ht="50.45" hidden="1" customHeight="1">
      <c r="A7" s="334" t="s">
        <v>2950</v>
      </c>
      <c r="B7" s="335" t="s">
        <v>2951</v>
      </c>
      <c r="C7" s="334" t="s">
        <v>2952</v>
      </c>
      <c r="D7" s="334" t="s">
        <v>67</v>
      </c>
      <c r="E7" s="447" t="s">
        <v>2963</v>
      </c>
      <c r="F7" s="352" t="s">
        <v>2956</v>
      </c>
      <c r="G7" s="334" t="s">
        <v>2957</v>
      </c>
      <c r="H7" s="334" t="s">
        <v>2955</v>
      </c>
      <c r="I7" s="343">
        <v>1</v>
      </c>
      <c r="J7" s="343" t="s">
        <v>2958</v>
      </c>
      <c r="K7" s="343"/>
      <c r="L7" s="344"/>
      <c r="M7" s="343"/>
      <c r="N7" s="343"/>
      <c r="O7" s="345"/>
      <c r="P7" s="334" t="s">
        <v>2964</v>
      </c>
      <c r="Q7" s="346"/>
      <c r="R7" s="347"/>
      <c r="S7" s="343"/>
      <c r="T7" s="343"/>
      <c r="U7" s="343"/>
      <c r="V7" s="343"/>
      <c r="W7" s="343"/>
      <c r="X7" s="343"/>
      <c r="Y7" s="343"/>
      <c r="Z7" s="343"/>
      <c r="AA7" s="334"/>
    </row>
    <row r="8" spans="1:27" ht="50.1" hidden="1" customHeight="1">
      <c r="A8" s="334" t="s">
        <v>2950</v>
      </c>
      <c r="B8" s="335" t="s">
        <v>2951</v>
      </c>
      <c r="C8" s="334" t="s">
        <v>2952</v>
      </c>
      <c r="D8" s="334" t="s">
        <v>69</v>
      </c>
      <c r="E8" s="334" t="s">
        <v>2965</v>
      </c>
      <c r="F8" s="334" t="s">
        <v>2966</v>
      </c>
      <c r="G8" s="334" t="s">
        <v>2967</v>
      </c>
      <c r="H8" s="334" t="s">
        <v>2968</v>
      </c>
      <c r="I8" s="334" t="s">
        <v>2969</v>
      </c>
      <c r="J8" s="334"/>
      <c r="K8" s="334"/>
      <c r="L8" s="344"/>
      <c r="M8" s="334"/>
      <c r="N8" s="334"/>
      <c r="O8" s="345"/>
      <c r="P8" s="334" t="s">
        <v>2970</v>
      </c>
      <c r="Q8" s="340"/>
      <c r="R8" s="349"/>
      <c r="S8" s="334"/>
      <c r="T8" s="334"/>
      <c r="U8" s="334"/>
      <c r="V8" s="334"/>
      <c r="W8" s="334"/>
      <c r="X8" s="334"/>
      <c r="Y8" s="334"/>
      <c r="Z8" s="334"/>
      <c r="AA8" s="334"/>
    </row>
    <row r="9" spans="1:27" ht="321.75" hidden="1" customHeight="1">
      <c r="A9" s="334" t="s">
        <v>2950</v>
      </c>
      <c r="B9" s="335" t="s">
        <v>2951</v>
      </c>
      <c r="C9" s="334" t="s">
        <v>2952</v>
      </c>
      <c r="D9" s="334" t="s">
        <v>74</v>
      </c>
      <c r="E9" s="334" t="s">
        <v>2971</v>
      </c>
      <c r="F9" s="334" t="s">
        <v>2966</v>
      </c>
      <c r="G9" s="334" t="s">
        <v>2967</v>
      </c>
      <c r="H9" s="334" t="s">
        <v>2972</v>
      </c>
      <c r="I9" s="334" t="s">
        <v>2973</v>
      </c>
      <c r="J9" s="334"/>
      <c r="K9" s="350"/>
      <c r="L9" s="344"/>
      <c r="M9" s="334"/>
      <c r="N9" s="334"/>
      <c r="O9" s="345"/>
      <c r="P9" s="334" t="s">
        <v>2975</v>
      </c>
      <c r="Q9" s="340"/>
      <c r="R9" s="349"/>
      <c r="S9" s="334"/>
      <c r="T9" s="334"/>
      <c r="U9" s="334"/>
      <c r="V9" s="334"/>
      <c r="W9" s="334"/>
      <c r="X9" s="334"/>
      <c r="Y9" s="334"/>
      <c r="Z9" s="334"/>
      <c r="AA9" s="334"/>
    </row>
    <row r="10" spans="1:27" ht="31.5" hidden="1">
      <c r="A10" s="334" t="s">
        <v>2950</v>
      </c>
      <c r="B10" s="335" t="s">
        <v>2951</v>
      </c>
      <c r="C10" s="334" t="s">
        <v>2952</v>
      </c>
      <c r="D10" s="334" t="s">
        <v>78</v>
      </c>
      <c r="E10" s="334" t="s">
        <v>2976</v>
      </c>
      <c r="F10" s="334" t="s">
        <v>2966</v>
      </c>
      <c r="G10" s="334" t="s">
        <v>2957</v>
      </c>
      <c r="H10" s="334" t="s">
        <v>2977</v>
      </c>
      <c r="I10" s="334">
        <v>5</v>
      </c>
      <c r="J10" s="334" t="s">
        <v>2958</v>
      </c>
      <c r="K10" s="334"/>
      <c r="L10" s="344"/>
      <c r="M10" s="334"/>
      <c r="N10" s="334"/>
      <c r="O10" s="345"/>
      <c r="P10" s="334"/>
      <c r="Q10" s="340"/>
      <c r="R10" s="349"/>
      <c r="S10" s="334"/>
      <c r="T10" s="334"/>
      <c r="U10" s="334"/>
      <c r="V10" s="334"/>
      <c r="W10" s="334"/>
      <c r="X10" s="334"/>
      <c r="Y10" s="334"/>
      <c r="Z10" s="334"/>
      <c r="AA10" s="334"/>
    </row>
    <row r="11" spans="1:27" ht="80.099999999999994" hidden="1" customHeight="1">
      <c r="A11" s="334" t="s">
        <v>2950</v>
      </c>
      <c r="B11" s="335" t="s">
        <v>2951</v>
      </c>
      <c r="C11" s="334" t="s">
        <v>2978</v>
      </c>
      <c r="D11" s="334" t="s">
        <v>82</v>
      </c>
      <c r="E11" s="334" t="s">
        <v>2979</v>
      </c>
      <c r="F11" s="442"/>
      <c r="G11" s="442" t="s">
        <v>2957</v>
      </c>
      <c r="H11" s="442" t="s">
        <v>2980</v>
      </c>
      <c r="I11" s="442" t="s">
        <v>2981</v>
      </c>
      <c r="J11" s="442"/>
      <c r="K11" s="442"/>
      <c r="L11" s="444"/>
      <c r="M11" s="442"/>
      <c r="N11" s="442"/>
      <c r="O11" s="445"/>
      <c r="P11" s="442"/>
      <c r="Q11" s="340"/>
      <c r="R11" s="446"/>
      <c r="S11" s="442"/>
      <c r="T11" s="442"/>
      <c r="U11" s="442"/>
      <c r="V11" s="442"/>
      <c r="W11" s="442"/>
      <c r="X11" s="442"/>
      <c r="Y11" s="442"/>
      <c r="Z11" s="442"/>
      <c r="AA11" s="442"/>
    </row>
    <row r="12" spans="1:27" ht="96.75" hidden="1" customHeight="1">
      <c r="A12" s="334" t="s">
        <v>2950</v>
      </c>
      <c r="B12" s="335" t="s">
        <v>2951</v>
      </c>
      <c r="C12" s="334" t="s">
        <v>2978</v>
      </c>
      <c r="D12" s="334" t="s">
        <v>86</v>
      </c>
      <c r="E12" s="348" t="s">
        <v>2982</v>
      </c>
      <c r="F12" s="334" t="s">
        <v>2964</v>
      </c>
      <c r="G12" s="334" t="s">
        <v>2957</v>
      </c>
      <c r="H12" s="334" t="s">
        <v>2980</v>
      </c>
      <c r="I12" s="334" t="s">
        <v>2981</v>
      </c>
      <c r="J12" s="334" t="s">
        <v>2958</v>
      </c>
      <c r="K12" s="334"/>
      <c r="L12" s="344"/>
      <c r="M12" s="334"/>
      <c r="N12" s="334"/>
      <c r="O12" s="345"/>
      <c r="P12" s="334" t="s">
        <v>2983</v>
      </c>
      <c r="Q12" s="340"/>
      <c r="R12" s="349"/>
      <c r="S12" s="334"/>
      <c r="T12" s="334"/>
      <c r="U12" s="334"/>
      <c r="V12" s="334"/>
      <c r="W12" s="334"/>
      <c r="X12" s="334"/>
      <c r="Y12" s="334"/>
      <c r="Z12" s="334"/>
      <c r="AA12" s="334"/>
    </row>
    <row r="13" spans="1:27" ht="68.099999999999994" hidden="1" customHeight="1">
      <c r="A13" s="334" t="s">
        <v>2950</v>
      </c>
      <c r="B13" s="335" t="s">
        <v>2951</v>
      </c>
      <c r="C13" s="334" t="s">
        <v>2978</v>
      </c>
      <c r="D13" s="334" t="s">
        <v>88</v>
      </c>
      <c r="E13" s="348" t="s">
        <v>2984</v>
      </c>
      <c r="F13" s="334" t="s">
        <v>2961</v>
      </c>
      <c r="G13" s="334" t="s">
        <v>2957</v>
      </c>
      <c r="H13" s="334" t="s">
        <v>2980</v>
      </c>
      <c r="I13" s="334" t="s">
        <v>2981</v>
      </c>
      <c r="J13" s="334" t="s">
        <v>2958</v>
      </c>
      <c r="K13" s="334"/>
      <c r="L13" s="344"/>
      <c r="M13" s="334"/>
      <c r="N13" s="334"/>
      <c r="O13" s="345"/>
      <c r="P13" s="334"/>
      <c r="Q13" s="340"/>
      <c r="R13" s="349"/>
      <c r="S13" s="334"/>
      <c r="T13" s="334"/>
      <c r="U13" s="334"/>
      <c r="V13" s="334"/>
      <c r="W13" s="334"/>
      <c r="X13" s="334"/>
      <c r="Y13" s="334"/>
      <c r="Z13" s="334"/>
      <c r="AA13" s="334"/>
    </row>
    <row r="14" spans="1:27" ht="82.5" hidden="1" customHeight="1">
      <c r="A14" s="334" t="s">
        <v>2950</v>
      </c>
      <c r="B14" s="335" t="s">
        <v>2951</v>
      </c>
      <c r="C14" s="334" t="s">
        <v>2978</v>
      </c>
      <c r="D14" s="334" t="s">
        <v>90</v>
      </c>
      <c r="E14" s="348" t="s">
        <v>2985</v>
      </c>
      <c r="F14" s="334" t="s">
        <v>2961</v>
      </c>
      <c r="G14" s="334" t="s">
        <v>2957</v>
      </c>
      <c r="H14" s="334" t="s">
        <v>2980</v>
      </c>
      <c r="I14" s="334" t="s">
        <v>2981</v>
      </c>
      <c r="J14" s="334" t="s">
        <v>2958</v>
      </c>
      <c r="K14" s="334"/>
      <c r="L14" s="344"/>
      <c r="M14" s="334"/>
      <c r="N14" s="334"/>
      <c r="O14" s="345"/>
      <c r="P14" s="334" t="s">
        <v>2986</v>
      </c>
      <c r="Q14" s="340"/>
      <c r="R14" s="349"/>
      <c r="S14" s="334"/>
      <c r="T14" s="334"/>
      <c r="U14" s="334"/>
      <c r="V14" s="334"/>
      <c r="W14" s="334"/>
      <c r="X14" s="334"/>
      <c r="Y14" s="334"/>
      <c r="Z14" s="334"/>
      <c r="AA14" s="334"/>
    </row>
    <row r="15" spans="1:27" ht="52.5" hidden="1" customHeight="1">
      <c r="A15" s="334" t="s">
        <v>2950</v>
      </c>
      <c r="B15" s="335" t="s">
        <v>2951</v>
      </c>
      <c r="C15" s="334" t="s">
        <v>2978</v>
      </c>
      <c r="D15" s="334" t="s">
        <v>92</v>
      </c>
      <c r="E15" s="348" t="s">
        <v>2987</v>
      </c>
      <c r="F15" s="334" t="s">
        <v>2961</v>
      </c>
      <c r="G15" s="334" t="s">
        <v>2957</v>
      </c>
      <c r="H15" s="334" t="s">
        <v>2980</v>
      </c>
      <c r="I15" s="334" t="s">
        <v>2981</v>
      </c>
      <c r="J15" s="334" t="s">
        <v>2958</v>
      </c>
      <c r="K15" s="334"/>
      <c r="L15" s="344"/>
      <c r="M15" s="334"/>
      <c r="N15" s="334"/>
      <c r="O15" s="345"/>
      <c r="P15" s="334"/>
      <c r="Q15" s="340"/>
      <c r="R15" s="349"/>
      <c r="S15" s="334"/>
      <c r="T15" s="334"/>
      <c r="U15" s="334"/>
      <c r="V15" s="334"/>
      <c r="W15" s="334"/>
      <c r="X15" s="334"/>
      <c r="Y15" s="334"/>
      <c r="Z15" s="334"/>
      <c r="AA15" s="334"/>
    </row>
    <row r="16" spans="1:27" ht="65.25" hidden="1" customHeight="1">
      <c r="A16" s="334" t="s">
        <v>2950</v>
      </c>
      <c r="B16" s="335" t="s">
        <v>2951</v>
      </c>
      <c r="C16" s="334" t="s">
        <v>2978</v>
      </c>
      <c r="D16" s="334" t="s">
        <v>94</v>
      </c>
      <c r="E16" s="348" t="s">
        <v>2988</v>
      </c>
      <c r="F16" s="334" t="s">
        <v>2961</v>
      </c>
      <c r="G16" s="334" t="s">
        <v>2957</v>
      </c>
      <c r="H16" s="334" t="s">
        <v>2980</v>
      </c>
      <c r="I16" s="334" t="s">
        <v>2981</v>
      </c>
      <c r="J16" s="334" t="s">
        <v>2958</v>
      </c>
      <c r="K16" s="334"/>
      <c r="L16" s="344"/>
      <c r="M16" s="334"/>
      <c r="N16" s="334"/>
      <c r="O16" s="345"/>
      <c r="P16" s="334"/>
      <c r="Q16" s="340"/>
      <c r="R16" s="349"/>
      <c r="S16" s="334"/>
      <c r="T16" s="334"/>
      <c r="U16" s="334"/>
      <c r="V16" s="334"/>
      <c r="W16" s="334"/>
      <c r="X16" s="334"/>
      <c r="Y16" s="334"/>
      <c r="Z16" s="334"/>
      <c r="AA16" s="334"/>
    </row>
    <row r="17" spans="1:27" ht="54" hidden="1" customHeight="1">
      <c r="A17" s="334" t="s">
        <v>2950</v>
      </c>
      <c r="B17" s="335" t="s">
        <v>2951</v>
      </c>
      <c r="C17" s="334" t="s">
        <v>2978</v>
      </c>
      <c r="D17" s="334" t="s">
        <v>96</v>
      </c>
      <c r="E17" s="348" t="s">
        <v>2989</v>
      </c>
      <c r="F17" s="334" t="s">
        <v>2961</v>
      </c>
      <c r="G17" s="334" t="s">
        <v>2957</v>
      </c>
      <c r="H17" s="334" t="s">
        <v>2980</v>
      </c>
      <c r="I17" s="334" t="s">
        <v>2981</v>
      </c>
      <c r="J17" s="334" t="s">
        <v>2958</v>
      </c>
      <c r="K17" s="334"/>
      <c r="L17" s="344"/>
      <c r="M17" s="334"/>
      <c r="N17" s="334"/>
      <c r="O17" s="345"/>
      <c r="P17" s="334"/>
      <c r="Q17" s="340"/>
      <c r="R17" s="349"/>
      <c r="S17" s="334"/>
      <c r="T17" s="334"/>
      <c r="U17" s="334"/>
      <c r="V17" s="334"/>
      <c r="W17" s="334"/>
      <c r="X17" s="334"/>
      <c r="Y17" s="334"/>
      <c r="Z17" s="334"/>
      <c r="AA17" s="334"/>
    </row>
    <row r="18" spans="1:27" ht="65.45" hidden="1" customHeight="1">
      <c r="A18" s="334" t="s">
        <v>2950</v>
      </c>
      <c r="B18" s="335" t="s">
        <v>2951</v>
      </c>
      <c r="C18" s="334" t="s">
        <v>2978</v>
      </c>
      <c r="D18" s="334" t="s">
        <v>98</v>
      </c>
      <c r="E18" s="348" t="s">
        <v>2990</v>
      </c>
      <c r="F18" s="334" t="s">
        <v>2964</v>
      </c>
      <c r="G18" s="334" t="s">
        <v>2957</v>
      </c>
      <c r="H18" s="334" t="s">
        <v>2980</v>
      </c>
      <c r="I18" s="334" t="s">
        <v>2981</v>
      </c>
      <c r="J18" s="334" t="s">
        <v>2974</v>
      </c>
      <c r="K18" s="334"/>
      <c r="L18" s="344"/>
      <c r="M18" s="334"/>
      <c r="N18" s="334"/>
      <c r="O18" s="345"/>
      <c r="P18" s="334"/>
      <c r="Q18" s="340"/>
      <c r="R18" s="349"/>
      <c r="S18" s="334"/>
      <c r="T18" s="334"/>
      <c r="U18" s="334"/>
      <c r="V18" s="334"/>
      <c r="W18" s="334"/>
      <c r="X18" s="334"/>
      <c r="Y18" s="334"/>
      <c r="Z18" s="334"/>
      <c r="AA18" s="334"/>
    </row>
    <row r="19" spans="1:27" s="389" customFormat="1" ht="60" hidden="1" customHeight="1">
      <c r="A19" s="334" t="s">
        <v>2950</v>
      </c>
      <c r="B19" s="335" t="s">
        <v>2951</v>
      </c>
      <c r="C19" s="334" t="s">
        <v>2978</v>
      </c>
      <c r="D19" s="334" t="s">
        <v>100</v>
      </c>
      <c r="E19" s="348" t="s">
        <v>2991</v>
      </c>
      <c r="F19" s="334" t="s">
        <v>2964</v>
      </c>
      <c r="G19" s="334" t="s">
        <v>2957</v>
      </c>
      <c r="H19" s="334" t="s">
        <v>2980</v>
      </c>
      <c r="I19" s="334" t="s">
        <v>2981</v>
      </c>
      <c r="J19" s="334" t="s">
        <v>2974</v>
      </c>
      <c r="K19" s="334"/>
      <c r="L19" s="344"/>
      <c r="M19" s="334"/>
      <c r="N19" s="334"/>
      <c r="O19" s="345"/>
      <c r="P19" s="334"/>
      <c r="Q19" s="340"/>
      <c r="R19" s="349"/>
      <c r="S19" s="334"/>
      <c r="T19" s="334"/>
      <c r="U19" s="334"/>
      <c r="V19" s="334"/>
      <c r="W19" s="334"/>
      <c r="X19" s="334"/>
      <c r="Y19" s="334"/>
      <c r="Z19" s="334"/>
      <c r="AA19" s="334"/>
    </row>
    <row r="20" spans="1:27" ht="55.5" hidden="1" customHeight="1">
      <c r="A20" s="334" t="s">
        <v>2950</v>
      </c>
      <c r="B20" s="335" t="s">
        <v>2951</v>
      </c>
      <c r="C20" s="334" t="s">
        <v>2978</v>
      </c>
      <c r="D20" s="334" t="s">
        <v>102</v>
      </c>
      <c r="E20" s="348" t="s">
        <v>2992</v>
      </c>
      <c r="F20" s="334" t="s">
        <v>2993</v>
      </c>
      <c r="G20" s="334" t="s">
        <v>2957</v>
      </c>
      <c r="H20" s="334" t="s">
        <v>2980</v>
      </c>
      <c r="I20" s="334" t="s">
        <v>2981</v>
      </c>
      <c r="J20" s="334" t="s">
        <v>2958</v>
      </c>
      <c r="K20" s="334"/>
      <c r="L20" s="344"/>
      <c r="M20" s="334"/>
      <c r="N20" s="334"/>
      <c r="O20" s="345"/>
      <c r="P20" s="334"/>
      <c r="Q20" s="340"/>
      <c r="R20" s="349"/>
      <c r="S20" s="334"/>
      <c r="T20" s="334"/>
      <c r="U20" s="334"/>
      <c r="V20" s="334"/>
      <c r="W20" s="334"/>
      <c r="X20" s="334"/>
      <c r="Y20" s="334"/>
      <c r="Z20" s="334"/>
      <c r="AA20" s="334"/>
    </row>
    <row r="21" spans="1:27" ht="154.5" hidden="1" customHeight="1">
      <c r="A21" s="334" t="s">
        <v>2950</v>
      </c>
      <c r="B21" s="335" t="s">
        <v>2951</v>
      </c>
      <c r="C21" s="334" t="s">
        <v>2978</v>
      </c>
      <c r="D21" s="334" t="s">
        <v>104</v>
      </c>
      <c r="E21" s="334" t="s">
        <v>2994</v>
      </c>
      <c r="F21" s="334" t="s">
        <v>2961</v>
      </c>
      <c r="G21" s="334" t="s">
        <v>2957</v>
      </c>
      <c r="H21" s="334" t="s">
        <v>2995</v>
      </c>
      <c r="I21" s="343">
        <v>1</v>
      </c>
      <c r="J21" s="343" t="s">
        <v>2974</v>
      </c>
      <c r="K21" s="351"/>
      <c r="L21" s="344"/>
      <c r="M21" s="343"/>
      <c r="N21" s="343"/>
      <c r="O21" s="345"/>
      <c r="P21" s="334" t="s">
        <v>2996</v>
      </c>
      <c r="Q21" s="346"/>
      <c r="R21" s="347"/>
      <c r="S21" s="343"/>
      <c r="T21" s="343"/>
      <c r="U21" s="343"/>
      <c r="V21" s="343"/>
      <c r="W21" s="343"/>
      <c r="X21" s="343"/>
      <c r="Y21" s="343"/>
      <c r="Z21" s="343"/>
      <c r="AA21" s="334"/>
    </row>
    <row r="22" spans="1:27" ht="84.6" hidden="1" customHeight="1">
      <c r="A22" s="334" t="s">
        <v>2950</v>
      </c>
      <c r="B22" s="335" t="s">
        <v>2951</v>
      </c>
      <c r="C22" s="334" t="s">
        <v>2978</v>
      </c>
      <c r="D22" s="334" t="s">
        <v>107</v>
      </c>
      <c r="E22" s="334" t="s">
        <v>2997</v>
      </c>
      <c r="F22" s="334" t="s">
        <v>2961</v>
      </c>
      <c r="G22" s="334" t="s">
        <v>2957</v>
      </c>
      <c r="H22" s="334" t="s">
        <v>2998</v>
      </c>
      <c r="I22" s="352" t="s">
        <v>2999</v>
      </c>
      <c r="J22" s="334" t="s">
        <v>3000</v>
      </c>
      <c r="K22" s="334"/>
      <c r="L22" s="344"/>
      <c r="M22" s="334"/>
      <c r="N22" s="334"/>
      <c r="O22" s="345"/>
      <c r="P22" s="334" t="s">
        <v>3001</v>
      </c>
      <c r="Q22" s="340"/>
      <c r="R22" s="349"/>
      <c r="S22" s="334"/>
      <c r="T22" s="334"/>
      <c r="U22" s="334"/>
      <c r="V22" s="334"/>
      <c r="W22" s="334"/>
      <c r="X22" s="334"/>
      <c r="Y22" s="334"/>
      <c r="Z22" s="334"/>
      <c r="AA22" s="334"/>
    </row>
    <row r="23" spans="1:27" ht="94.5" hidden="1">
      <c r="A23" s="334" t="s">
        <v>2950</v>
      </c>
      <c r="B23" s="335" t="s">
        <v>2951</v>
      </c>
      <c r="C23" s="334" t="s">
        <v>2978</v>
      </c>
      <c r="D23" s="334" t="s">
        <v>111</v>
      </c>
      <c r="E23" s="334" t="s">
        <v>3002</v>
      </c>
      <c r="F23" s="442"/>
      <c r="G23" s="442" t="s">
        <v>2957</v>
      </c>
      <c r="H23" s="442" t="s">
        <v>3003</v>
      </c>
      <c r="I23" s="443" t="s">
        <v>3004</v>
      </c>
      <c r="J23" s="443"/>
      <c r="K23" s="442"/>
      <c r="L23" s="444"/>
      <c r="M23" s="443"/>
      <c r="N23" s="443"/>
      <c r="O23" s="445"/>
      <c r="P23" s="442"/>
      <c r="Q23" s="346"/>
      <c r="R23" s="448"/>
      <c r="S23" s="443"/>
      <c r="T23" s="443"/>
      <c r="U23" s="443"/>
      <c r="V23" s="443"/>
      <c r="W23" s="443"/>
      <c r="X23" s="443"/>
      <c r="Y23" s="443"/>
      <c r="Z23" s="443"/>
      <c r="AA23" s="442"/>
    </row>
    <row r="24" spans="1:27" ht="72.75" hidden="1" customHeight="1">
      <c r="A24" s="334" t="s">
        <v>2950</v>
      </c>
      <c r="B24" s="335" t="s">
        <v>2951</v>
      </c>
      <c r="C24" s="334" t="s">
        <v>2978</v>
      </c>
      <c r="D24" s="334" t="s">
        <v>114</v>
      </c>
      <c r="E24" s="348" t="s">
        <v>3005</v>
      </c>
      <c r="F24" s="334" t="s">
        <v>2993</v>
      </c>
      <c r="G24" s="334" t="s">
        <v>2957</v>
      </c>
      <c r="H24" s="334" t="s">
        <v>3003</v>
      </c>
      <c r="I24" s="343" t="s">
        <v>3004</v>
      </c>
      <c r="J24" s="343" t="s">
        <v>3000</v>
      </c>
      <c r="K24" s="351"/>
      <c r="L24" s="344"/>
      <c r="M24" s="343"/>
      <c r="N24" s="343"/>
      <c r="O24" s="345"/>
      <c r="P24" s="334"/>
      <c r="Q24" s="346"/>
      <c r="R24" s="347"/>
      <c r="S24" s="343"/>
      <c r="T24" s="343"/>
      <c r="U24" s="343"/>
      <c r="V24" s="343"/>
      <c r="W24" s="343"/>
      <c r="X24" s="343"/>
      <c r="Y24" s="343"/>
      <c r="Z24" s="343"/>
      <c r="AA24" s="334"/>
    </row>
    <row r="25" spans="1:27" ht="94.5" hidden="1">
      <c r="A25" s="334" t="s">
        <v>2950</v>
      </c>
      <c r="B25" s="335" t="s">
        <v>2951</v>
      </c>
      <c r="C25" s="334" t="s">
        <v>2978</v>
      </c>
      <c r="D25" s="334" t="s">
        <v>116</v>
      </c>
      <c r="E25" s="348" t="s">
        <v>3006</v>
      </c>
      <c r="F25" s="334" t="s">
        <v>2964</v>
      </c>
      <c r="G25" s="334" t="s">
        <v>2957</v>
      </c>
      <c r="H25" s="334" t="s">
        <v>3003</v>
      </c>
      <c r="I25" s="343" t="s">
        <v>3004</v>
      </c>
      <c r="J25" s="343" t="s">
        <v>2974</v>
      </c>
      <c r="K25" s="343"/>
      <c r="L25" s="344"/>
      <c r="M25" s="343"/>
      <c r="N25" s="343"/>
      <c r="O25" s="345"/>
      <c r="P25" s="334" t="s">
        <v>3007</v>
      </c>
      <c r="Q25" s="346"/>
      <c r="R25" s="347"/>
      <c r="S25" s="343"/>
      <c r="T25" s="343"/>
      <c r="U25" s="343"/>
      <c r="V25" s="343"/>
      <c r="W25" s="343"/>
      <c r="X25" s="343"/>
      <c r="Y25" s="343"/>
      <c r="Z25" s="343"/>
      <c r="AA25" s="334"/>
    </row>
    <row r="26" spans="1:27" ht="94.5" hidden="1">
      <c r="A26" s="449" t="s">
        <v>2950</v>
      </c>
      <c r="B26" s="450" t="s">
        <v>2951</v>
      </c>
      <c r="C26" s="449" t="s">
        <v>2978</v>
      </c>
      <c r="D26" s="449" t="s">
        <v>118</v>
      </c>
      <c r="E26" s="451" t="s">
        <v>3008</v>
      </c>
      <c r="F26" s="449" t="s">
        <v>3009</v>
      </c>
      <c r="G26" s="449" t="s">
        <v>2957</v>
      </c>
      <c r="H26" s="449" t="s">
        <v>3003</v>
      </c>
      <c r="I26" s="452" t="s">
        <v>3004</v>
      </c>
      <c r="J26" s="452" t="s">
        <v>3000</v>
      </c>
      <c r="K26" s="452"/>
      <c r="L26" s="453"/>
      <c r="M26" s="452"/>
      <c r="N26" s="452"/>
      <c r="O26" s="454"/>
      <c r="P26" s="449"/>
      <c r="Q26" s="346"/>
      <c r="R26" s="347"/>
      <c r="S26" s="343"/>
      <c r="T26" s="343"/>
      <c r="U26" s="343"/>
      <c r="V26" s="343"/>
      <c r="W26" s="343"/>
      <c r="X26" s="343"/>
      <c r="Y26" s="343"/>
      <c r="Z26" s="343"/>
      <c r="AA26" s="334"/>
    </row>
    <row r="27" spans="1:27" ht="47.1" hidden="1" customHeight="1">
      <c r="A27" s="334" t="s">
        <v>2950</v>
      </c>
      <c r="B27" s="335" t="s">
        <v>2951</v>
      </c>
      <c r="C27" s="334" t="s">
        <v>2978</v>
      </c>
      <c r="D27" s="334" t="s">
        <v>120</v>
      </c>
      <c r="E27" s="348" t="s">
        <v>3010</v>
      </c>
      <c r="F27" s="334" t="s">
        <v>2964</v>
      </c>
      <c r="G27" s="334" t="s">
        <v>2957</v>
      </c>
      <c r="H27" s="334" t="s">
        <v>3003</v>
      </c>
      <c r="I27" s="343" t="s">
        <v>3004</v>
      </c>
      <c r="J27" s="343" t="s">
        <v>2974</v>
      </c>
      <c r="K27" s="343"/>
      <c r="L27" s="344"/>
      <c r="M27" s="343"/>
      <c r="N27" s="343"/>
      <c r="O27" s="345"/>
      <c r="P27" s="334"/>
      <c r="Q27" s="346"/>
      <c r="R27" s="347"/>
      <c r="S27" s="343"/>
      <c r="T27" s="343"/>
      <c r="U27" s="343"/>
      <c r="V27" s="343"/>
      <c r="W27" s="343"/>
      <c r="X27" s="343"/>
      <c r="Y27" s="343"/>
      <c r="Z27" s="343"/>
      <c r="AA27" s="334"/>
    </row>
    <row r="28" spans="1:27" ht="47.45" hidden="1" customHeight="1">
      <c r="A28" s="334" t="s">
        <v>2950</v>
      </c>
      <c r="B28" s="335" t="s">
        <v>2951</v>
      </c>
      <c r="C28" s="334" t="s">
        <v>2978</v>
      </c>
      <c r="D28" s="334" t="s">
        <v>122</v>
      </c>
      <c r="E28" s="334" t="s">
        <v>3011</v>
      </c>
      <c r="F28" s="334" t="s">
        <v>2961</v>
      </c>
      <c r="G28" s="334" t="s">
        <v>2967</v>
      </c>
      <c r="H28" s="334" t="s">
        <v>3012</v>
      </c>
      <c r="I28" s="343">
        <v>1</v>
      </c>
      <c r="J28" s="334"/>
      <c r="K28" s="334"/>
      <c r="L28" s="344"/>
      <c r="M28" s="334" t="s">
        <v>3013</v>
      </c>
      <c r="N28" s="334" t="s">
        <v>3014</v>
      </c>
      <c r="O28" s="345"/>
      <c r="P28" s="334" t="s">
        <v>3015</v>
      </c>
      <c r="Q28" s="340"/>
      <c r="R28" s="349"/>
      <c r="S28" s="334"/>
      <c r="T28" s="334"/>
      <c r="U28" s="334"/>
      <c r="V28" s="334"/>
      <c r="W28" s="334"/>
      <c r="X28" s="334"/>
      <c r="Y28" s="334"/>
      <c r="Z28" s="334"/>
      <c r="AA28" s="334"/>
    </row>
    <row r="29" spans="1:27" ht="71.099999999999994" hidden="1" customHeight="1">
      <c r="A29" s="334" t="s">
        <v>2950</v>
      </c>
      <c r="B29" s="335" t="s">
        <v>2951</v>
      </c>
      <c r="C29" s="334" t="s">
        <v>2978</v>
      </c>
      <c r="D29" s="334" t="s">
        <v>125</v>
      </c>
      <c r="E29" s="334" t="s">
        <v>3016</v>
      </c>
      <c r="F29" s="334"/>
      <c r="G29" s="334" t="s">
        <v>2967</v>
      </c>
      <c r="H29" s="334" t="s">
        <v>3017</v>
      </c>
      <c r="I29" s="343">
        <v>1</v>
      </c>
      <c r="J29" s="334"/>
      <c r="K29" s="334"/>
      <c r="L29" s="344"/>
      <c r="M29" s="334" t="s">
        <v>3013</v>
      </c>
      <c r="N29" s="334" t="s">
        <v>3014</v>
      </c>
      <c r="O29" s="345"/>
      <c r="P29" s="334" t="s">
        <v>3018</v>
      </c>
      <c r="Q29" s="340"/>
      <c r="R29" s="349"/>
      <c r="S29" s="334"/>
      <c r="T29" s="334"/>
      <c r="U29" s="334"/>
      <c r="V29" s="334"/>
      <c r="W29" s="334"/>
      <c r="X29" s="334"/>
      <c r="Y29" s="334"/>
      <c r="Z29" s="334"/>
      <c r="AA29" s="334"/>
    </row>
    <row r="30" spans="1:27" ht="99.95" customHeight="1">
      <c r="A30" s="334" t="s">
        <v>2950</v>
      </c>
      <c r="B30" s="335" t="s">
        <v>2951</v>
      </c>
      <c r="C30" s="334" t="s">
        <v>3019</v>
      </c>
      <c r="D30" s="334" t="s">
        <v>129</v>
      </c>
      <c r="E30" s="334" t="s">
        <v>3020</v>
      </c>
      <c r="F30" s="442"/>
      <c r="G30" s="442" t="s">
        <v>2957</v>
      </c>
      <c r="H30" s="442"/>
      <c r="I30" s="443"/>
      <c r="J30" s="443"/>
      <c r="K30" s="442"/>
      <c r="L30" s="444"/>
      <c r="M30" s="443"/>
      <c r="N30" s="443"/>
      <c r="O30" s="445"/>
      <c r="P30" s="442"/>
      <c r="Q30" s="346"/>
      <c r="R30" s="448"/>
      <c r="S30" s="443"/>
      <c r="T30" s="443"/>
      <c r="U30" s="443"/>
      <c r="V30" s="443"/>
      <c r="W30" s="443"/>
      <c r="X30" s="443"/>
      <c r="Y30" s="443"/>
      <c r="Z30" s="443"/>
      <c r="AA30" s="442"/>
    </row>
    <row r="31" spans="1:27" ht="47.25">
      <c r="A31" s="334" t="s">
        <v>2950</v>
      </c>
      <c r="B31" s="335" t="s">
        <v>2951</v>
      </c>
      <c r="C31" s="334" t="s">
        <v>3019</v>
      </c>
      <c r="D31" s="334" t="s">
        <v>132</v>
      </c>
      <c r="E31" s="348" t="s">
        <v>3021</v>
      </c>
      <c r="F31" s="334" t="s">
        <v>3018</v>
      </c>
      <c r="G31" s="334" t="s">
        <v>2957</v>
      </c>
      <c r="H31" s="455" t="s">
        <v>3022</v>
      </c>
      <c r="I31" s="334" t="s">
        <v>3023</v>
      </c>
      <c r="J31" s="334" t="s">
        <v>2974</v>
      </c>
      <c r="K31" s="334"/>
      <c r="L31" s="344"/>
      <c r="M31" s="334" t="s">
        <v>3013</v>
      </c>
      <c r="N31" s="334" t="s">
        <v>3014</v>
      </c>
      <c r="O31" s="345"/>
      <c r="P31" s="334" t="s">
        <v>3024</v>
      </c>
      <c r="Q31" s="340"/>
      <c r="R31" s="349"/>
      <c r="S31" s="334"/>
      <c r="T31" s="334"/>
      <c r="U31" s="334"/>
      <c r="V31" s="334"/>
      <c r="W31" s="334"/>
      <c r="X31" s="334"/>
      <c r="Y31" s="334"/>
      <c r="Z31" s="334"/>
      <c r="AA31" s="334"/>
    </row>
    <row r="32" spans="1:27" ht="31.5">
      <c r="A32" s="334" t="s">
        <v>2950</v>
      </c>
      <c r="B32" s="335" t="s">
        <v>2951</v>
      </c>
      <c r="C32" s="334" t="s">
        <v>3019</v>
      </c>
      <c r="D32" s="334" t="s">
        <v>136</v>
      </c>
      <c r="E32" s="348" t="s">
        <v>3025</v>
      </c>
      <c r="F32" s="334" t="s">
        <v>3018</v>
      </c>
      <c r="G32" s="334" t="s">
        <v>2957</v>
      </c>
      <c r="H32" s="455" t="s">
        <v>3026</v>
      </c>
      <c r="I32" s="334" t="s">
        <v>3027</v>
      </c>
      <c r="J32" s="334" t="s">
        <v>3000</v>
      </c>
      <c r="K32" s="334"/>
      <c r="L32" s="344"/>
      <c r="M32" s="334" t="s">
        <v>3013</v>
      </c>
      <c r="N32" s="334" t="s">
        <v>3014</v>
      </c>
      <c r="O32" s="345"/>
      <c r="P32" s="334" t="s">
        <v>3028</v>
      </c>
      <c r="Q32" s="340"/>
      <c r="R32" s="349"/>
      <c r="S32" s="334"/>
      <c r="T32" s="334"/>
      <c r="U32" s="334"/>
      <c r="V32" s="334"/>
      <c r="W32" s="334"/>
      <c r="X32" s="334"/>
      <c r="Y32" s="334"/>
      <c r="Z32" s="334"/>
      <c r="AA32" s="334"/>
    </row>
    <row r="33" spans="1:27" ht="31.5">
      <c r="A33" s="334" t="s">
        <v>2950</v>
      </c>
      <c r="B33" s="335" t="s">
        <v>2951</v>
      </c>
      <c r="C33" s="334" t="s">
        <v>3019</v>
      </c>
      <c r="D33" s="334" t="s">
        <v>140</v>
      </c>
      <c r="E33" s="348" t="s">
        <v>3029</v>
      </c>
      <c r="F33" s="334" t="s">
        <v>3018</v>
      </c>
      <c r="G33" s="334" t="s">
        <v>2957</v>
      </c>
      <c r="H33" s="456" t="s">
        <v>3030</v>
      </c>
      <c r="I33" s="334" t="s">
        <v>3031</v>
      </c>
      <c r="J33" s="334" t="s">
        <v>3000</v>
      </c>
      <c r="K33" s="334"/>
      <c r="L33" s="344"/>
      <c r="M33" s="334" t="s">
        <v>3013</v>
      </c>
      <c r="N33" s="334" t="s">
        <v>3014</v>
      </c>
      <c r="O33" s="345"/>
      <c r="P33" s="334" t="s">
        <v>3028</v>
      </c>
      <c r="Q33" s="340"/>
      <c r="R33" s="349"/>
      <c r="S33" s="334"/>
      <c r="T33" s="334"/>
      <c r="U33" s="334"/>
      <c r="V33" s="334"/>
      <c r="W33" s="334"/>
      <c r="X33" s="334"/>
      <c r="Y33" s="334"/>
      <c r="Z33" s="334"/>
      <c r="AA33" s="334"/>
    </row>
    <row r="34" spans="1:27" ht="36.6" customHeight="1">
      <c r="A34" s="334" t="s">
        <v>2950</v>
      </c>
      <c r="B34" s="335" t="s">
        <v>2951</v>
      </c>
      <c r="C34" s="334" t="s">
        <v>3019</v>
      </c>
      <c r="D34" s="334" t="s">
        <v>144</v>
      </c>
      <c r="E34" s="334" t="s">
        <v>3032</v>
      </c>
      <c r="F34" s="442"/>
      <c r="G34" s="442" t="s">
        <v>2957</v>
      </c>
      <c r="H34" s="442"/>
      <c r="I34" s="443"/>
      <c r="J34" s="443"/>
      <c r="K34" s="442"/>
      <c r="L34" s="444"/>
      <c r="M34" s="443"/>
      <c r="N34" s="443"/>
      <c r="O34" s="445"/>
      <c r="P34" s="442"/>
      <c r="Q34" s="346"/>
      <c r="R34" s="448"/>
      <c r="S34" s="443"/>
      <c r="T34" s="443"/>
      <c r="U34" s="443"/>
      <c r="V34" s="443"/>
      <c r="W34" s="443"/>
      <c r="X34" s="443"/>
      <c r="Y34" s="443"/>
      <c r="Z34" s="443"/>
      <c r="AA34" s="442"/>
    </row>
    <row r="35" spans="1:27" ht="45">
      <c r="A35" s="334" t="s">
        <v>2950</v>
      </c>
      <c r="B35" s="335" t="s">
        <v>2951</v>
      </c>
      <c r="C35" s="334" t="s">
        <v>3019</v>
      </c>
      <c r="D35" s="334" t="s">
        <v>146</v>
      </c>
      <c r="E35" s="348" t="s">
        <v>3033</v>
      </c>
      <c r="F35" s="334" t="s">
        <v>3018</v>
      </c>
      <c r="G35" s="334" t="s">
        <v>2957</v>
      </c>
      <c r="H35" s="457" t="s">
        <v>3034</v>
      </c>
      <c r="I35" s="458" t="s">
        <v>3035</v>
      </c>
      <c r="J35" s="334" t="s">
        <v>2974</v>
      </c>
      <c r="K35" s="334"/>
      <c r="L35" s="344"/>
      <c r="M35" s="334" t="s">
        <v>3013</v>
      </c>
      <c r="N35" s="334" t="s">
        <v>3014</v>
      </c>
      <c r="O35" s="345"/>
      <c r="P35" s="334" t="s">
        <v>3036</v>
      </c>
      <c r="Q35" s="340"/>
      <c r="R35" s="349"/>
      <c r="S35" s="334"/>
      <c r="T35" s="334"/>
      <c r="U35" s="334"/>
      <c r="V35" s="334"/>
      <c r="W35" s="334"/>
      <c r="X35" s="334"/>
      <c r="Y35" s="334"/>
      <c r="Z35" s="334"/>
      <c r="AA35" s="334"/>
    </row>
    <row r="36" spans="1:27" ht="60">
      <c r="A36" s="334" t="s">
        <v>2950</v>
      </c>
      <c r="B36" s="335" t="s">
        <v>2951</v>
      </c>
      <c r="C36" s="334" t="s">
        <v>3019</v>
      </c>
      <c r="D36" s="334" t="s">
        <v>150</v>
      </c>
      <c r="E36" s="348" t="s">
        <v>3037</v>
      </c>
      <c r="F36" s="334" t="s">
        <v>3018</v>
      </c>
      <c r="G36" s="334" t="s">
        <v>2957</v>
      </c>
      <c r="H36" s="459" t="s">
        <v>3038</v>
      </c>
      <c r="I36" s="458" t="s">
        <v>3031</v>
      </c>
      <c r="J36" s="334" t="s">
        <v>2974</v>
      </c>
      <c r="K36" s="334"/>
      <c r="L36" s="344"/>
      <c r="M36" s="334" t="s">
        <v>3013</v>
      </c>
      <c r="N36" s="334" t="s">
        <v>3014</v>
      </c>
      <c r="O36" s="345"/>
      <c r="P36" s="334" t="s">
        <v>3039</v>
      </c>
      <c r="Q36" s="340"/>
      <c r="R36" s="349"/>
      <c r="S36" s="334"/>
      <c r="T36" s="334"/>
      <c r="U36" s="334"/>
      <c r="V36" s="334"/>
      <c r="W36" s="334"/>
      <c r="X36" s="334"/>
      <c r="Y36" s="334"/>
      <c r="Z36" s="334"/>
      <c r="AA36" s="334"/>
    </row>
    <row r="37" spans="1:27" ht="63">
      <c r="A37" s="334" t="s">
        <v>2950</v>
      </c>
      <c r="B37" s="335" t="s">
        <v>2951</v>
      </c>
      <c r="C37" s="334" t="s">
        <v>3019</v>
      </c>
      <c r="D37" s="334" t="s">
        <v>154</v>
      </c>
      <c r="E37" s="334" t="s">
        <v>3040</v>
      </c>
      <c r="F37" s="442"/>
      <c r="G37" s="442" t="s">
        <v>2957</v>
      </c>
      <c r="H37" s="442"/>
      <c r="I37" s="443"/>
      <c r="J37" s="443"/>
      <c r="K37" s="442"/>
      <c r="L37" s="444"/>
      <c r="M37" s="443"/>
      <c r="N37" s="443"/>
      <c r="O37" s="445"/>
      <c r="P37" s="442"/>
      <c r="Q37" s="346"/>
      <c r="R37" s="448"/>
      <c r="S37" s="443"/>
      <c r="T37" s="443"/>
      <c r="U37" s="443"/>
      <c r="V37" s="443"/>
      <c r="W37" s="443"/>
      <c r="X37" s="443"/>
      <c r="Y37" s="443"/>
      <c r="Z37" s="443"/>
      <c r="AA37" s="442"/>
    </row>
    <row r="38" spans="1:27" ht="31.5">
      <c r="A38" s="334" t="s">
        <v>2950</v>
      </c>
      <c r="B38" s="335" t="s">
        <v>2951</v>
      </c>
      <c r="C38" s="334" t="s">
        <v>3019</v>
      </c>
      <c r="D38" s="334" t="s">
        <v>156</v>
      </c>
      <c r="E38" s="348" t="s">
        <v>3041</v>
      </c>
      <c r="F38" s="334" t="s">
        <v>3018</v>
      </c>
      <c r="G38" s="334" t="s">
        <v>2957</v>
      </c>
      <c r="H38" s="334" t="s">
        <v>3042</v>
      </c>
      <c r="I38" s="334" t="s">
        <v>2999</v>
      </c>
      <c r="J38" s="334" t="s">
        <v>2974</v>
      </c>
      <c r="K38" s="334"/>
      <c r="L38" s="344"/>
      <c r="M38" s="334" t="s">
        <v>3013</v>
      </c>
      <c r="N38" s="334" t="s">
        <v>3014</v>
      </c>
      <c r="O38" s="345"/>
      <c r="P38" s="334"/>
      <c r="Q38" s="340"/>
      <c r="R38" s="349"/>
      <c r="S38" s="334"/>
      <c r="T38" s="334"/>
      <c r="U38" s="334"/>
      <c r="V38" s="334"/>
      <c r="W38" s="334"/>
      <c r="X38" s="334"/>
      <c r="Y38" s="334"/>
      <c r="Z38" s="334"/>
      <c r="AA38" s="334"/>
    </row>
    <row r="39" spans="1:27" ht="63">
      <c r="A39" s="334" t="s">
        <v>2950</v>
      </c>
      <c r="B39" s="335" t="s">
        <v>2951</v>
      </c>
      <c r="C39" s="334" t="s">
        <v>3019</v>
      </c>
      <c r="D39" s="334" t="s">
        <v>159</v>
      </c>
      <c r="E39" s="348" t="s">
        <v>3043</v>
      </c>
      <c r="F39" s="334" t="s">
        <v>3018</v>
      </c>
      <c r="G39" s="334" t="s">
        <v>2957</v>
      </c>
      <c r="H39" s="334" t="s">
        <v>3044</v>
      </c>
      <c r="I39" s="334" t="s">
        <v>162</v>
      </c>
      <c r="J39" s="334" t="s">
        <v>3000</v>
      </c>
      <c r="K39" s="334"/>
      <c r="L39" s="344"/>
      <c r="M39" s="334" t="s">
        <v>3013</v>
      </c>
      <c r="N39" s="334" t="s">
        <v>3014</v>
      </c>
      <c r="O39" s="345"/>
      <c r="P39" s="334" t="s">
        <v>3028</v>
      </c>
      <c r="Q39" s="340"/>
      <c r="R39" s="349"/>
      <c r="S39" s="334"/>
      <c r="T39" s="334"/>
      <c r="U39" s="334"/>
      <c r="V39" s="334"/>
      <c r="W39" s="334"/>
      <c r="X39" s="334"/>
      <c r="Y39" s="334"/>
      <c r="Z39" s="334"/>
      <c r="AA39" s="334"/>
    </row>
    <row r="40" spans="1:27" ht="78.75">
      <c r="A40" s="334" t="s">
        <v>2950</v>
      </c>
      <c r="B40" s="335" t="s">
        <v>2951</v>
      </c>
      <c r="C40" s="334" t="s">
        <v>3019</v>
      </c>
      <c r="D40" s="334" t="s">
        <v>163</v>
      </c>
      <c r="E40" s="348" t="s">
        <v>3045</v>
      </c>
      <c r="F40" s="334" t="s">
        <v>3018</v>
      </c>
      <c r="G40" s="334" t="s">
        <v>2957</v>
      </c>
      <c r="H40" s="334" t="s">
        <v>3046</v>
      </c>
      <c r="I40" s="334" t="s">
        <v>3047</v>
      </c>
      <c r="J40" s="334" t="s">
        <v>2974</v>
      </c>
      <c r="K40" s="334"/>
      <c r="L40" s="344"/>
      <c r="M40" s="334"/>
      <c r="N40" s="334"/>
      <c r="O40" s="345"/>
      <c r="P40" s="334"/>
      <c r="Q40" s="340"/>
      <c r="R40" s="349"/>
      <c r="S40" s="334"/>
      <c r="T40" s="334"/>
      <c r="U40" s="334"/>
      <c r="V40" s="334"/>
      <c r="W40" s="334"/>
      <c r="X40" s="334"/>
      <c r="Y40" s="334"/>
      <c r="Z40" s="334"/>
      <c r="AA40" s="334"/>
    </row>
    <row r="41" spans="1:27" ht="103.5" customHeight="1">
      <c r="A41" s="334" t="s">
        <v>2950</v>
      </c>
      <c r="B41" s="335" t="s">
        <v>3048</v>
      </c>
      <c r="C41" s="334" t="s">
        <v>128</v>
      </c>
      <c r="D41" s="334" t="s">
        <v>167</v>
      </c>
      <c r="E41" s="334" t="s">
        <v>3049</v>
      </c>
      <c r="F41" s="334" t="s">
        <v>2993</v>
      </c>
      <c r="G41" s="334" t="s">
        <v>2957</v>
      </c>
      <c r="H41" s="334" t="s">
        <v>3050</v>
      </c>
      <c r="I41" s="334" t="s">
        <v>2999</v>
      </c>
      <c r="J41" s="334"/>
      <c r="K41" s="352"/>
      <c r="L41" s="362"/>
      <c r="M41" s="352"/>
      <c r="N41" s="352"/>
      <c r="O41" s="363"/>
      <c r="P41" s="334"/>
      <c r="Q41" s="340"/>
      <c r="R41" s="364"/>
      <c r="S41" s="352"/>
      <c r="T41" s="352"/>
      <c r="U41" s="352"/>
      <c r="V41" s="352"/>
      <c r="W41" s="352"/>
      <c r="X41" s="352"/>
      <c r="Y41" s="352"/>
      <c r="Z41" s="352"/>
      <c r="AA41" s="334"/>
    </row>
    <row r="42" spans="1:27" ht="120" customHeight="1">
      <c r="A42" s="334" t="s">
        <v>2950</v>
      </c>
      <c r="B42" s="335" t="s">
        <v>2951</v>
      </c>
      <c r="C42" s="334" t="s">
        <v>3019</v>
      </c>
      <c r="D42" s="334" t="s">
        <v>170</v>
      </c>
      <c r="E42" s="334" t="s">
        <v>3051</v>
      </c>
      <c r="F42" s="442"/>
      <c r="G42" s="442" t="s">
        <v>2957</v>
      </c>
      <c r="H42" s="442"/>
      <c r="I42" s="442"/>
      <c r="J42" s="442"/>
      <c r="K42" s="442"/>
      <c r="L42" s="444"/>
      <c r="M42" s="442"/>
      <c r="N42" s="442"/>
      <c r="O42" s="445"/>
      <c r="P42" s="442"/>
      <c r="Q42" s="340"/>
      <c r="R42" s="364"/>
      <c r="S42" s="352"/>
      <c r="T42" s="352"/>
      <c r="U42" s="352"/>
      <c r="V42" s="352"/>
      <c r="W42" s="352"/>
      <c r="X42" s="352"/>
      <c r="Y42" s="352"/>
      <c r="Z42" s="352"/>
      <c r="AA42" s="334"/>
    </row>
    <row r="43" spans="1:27" ht="62.1" customHeight="1">
      <c r="A43" s="334" t="s">
        <v>2950</v>
      </c>
      <c r="B43" s="335" t="s">
        <v>2951</v>
      </c>
      <c r="C43" s="334" t="s">
        <v>3019</v>
      </c>
      <c r="D43" s="334" t="s">
        <v>172</v>
      </c>
      <c r="E43" s="348" t="s">
        <v>173</v>
      </c>
      <c r="F43" s="334" t="s">
        <v>3018</v>
      </c>
      <c r="G43" s="334" t="s">
        <v>2957</v>
      </c>
      <c r="H43" s="334" t="s">
        <v>3052</v>
      </c>
      <c r="I43" s="334" t="s">
        <v>3053</v>
      </c>
      <c r="J43" s="334" t="s">
        <v>3000</v>
      </c>
      <c r="K43" s="352"/>
      <c r="L43" s="362"/>
      <c r="M43" s="352" t="s">
        <v>3013</v>
      </c>
      <c r="N43" s="334" t="s">
        <v>3014</v>
      </c>
      <c r="O43" s="363"/>
      <c r="P43" s="334" t="s">
        <v>3054</v>
      </c>
      <c r="Q43" s="340"/>
      <c r="R43" s="364"/>
      <c r="S43" s="352"/>
      <c r="T43" s="352"/>
      <c r="U43" s="352"/>
      <c r="V43" s="352"/>
      <c r="W43" s="352"/>
      <c r="X43" s="352"/>
      <c r="Y43" s="352"/>
      <c r="Z43" s="352"/>
      <c r="AA43" s="334"/>
    </row>
    <row r="44" spans="1:27" ht="63">
      <c r="A44" s="334" t="s">
        <v>2950</v>
      </c>
      <c r="B44" s="335" t="s">
        <v>2951</v>
      </c>
      <c r="C44" s="334" t="s">
        <v>3019</v>
      </c>
      <c r="D44" s="334" t="s">
        <v>176</v>
      </c>
      <c r="E44" s="348" t="s">
        <v>3055</v>
      </c>
      <c r="F44" s="334" t="s">
        <v>2956</v>
      </c>
      <c r="G44" s="334" t="s">
        <v>2957</v>
      </c>
      <c r="H44" s="334" t="s">
        <v>3056</v>
      </c>
      <c r="I44" s="334" t="s">
        <v>3057</v>
      </c>
      <c r="J44" s="334" t="s">
        <v>2974</v>
      </c>
      <c r="K44" s="352"/>
      <c r="L44" s="362"/>
      <c r="M44" s="352" t="s">
        <v>3058</v>
      </c>
      <c r="N44" s="352"/>
      <c r="O44" s="363"/>
      <c r="P44" s="334"/>
      <c r="Q44" s="340"/>
      <c r="R44" s="364"/>
      <c r="S44" s="352"/>
      <c r="T44" s="352"/>
      <c r="U44" s="352"/>
      <c r="V44" s="352"/>
      <c r="W44" s="352"/>
      <c r="X44" s="352"/>
      <c r="Y44" s="352"/>
      <c r="Z44" s="352"/>
      <c r="AA44" s="334"/>
    </row>
    <row r="45" spans="1:27" ht="61.5" customHeight="1">
      <c r="A45" s="334" t="s">
        <v>2950</v>
      </c>
      <c r="B45" s="335" t="s">
        <v>2951</v>
      </c>
      <c r="C45" s="334" t="s">
        <v>128</v>
      </c>
      <c r="D45" s="334" t="s">
        <v>180</v>
      </c>
      <c r="E45" s="409" t="s">
        <v>3059</v>
      </c>
      <c r="F45" s="334" t="s">
        <v>2964</v>
      </c>
      <c r="G45" s="334" t="s">
        <v>2967</v>
      </c>
      <c r="H45" s="334" t="s">
        <v>3060</v>
      </c>
      <c r="I45" s="343">
        <v>1</v>
      </c>
      <c r="J45" s="343"/>
      <c r="K45" s="365"/>
      <c r="L45" s="362"/>
      <c r="M45" s="365"/>
      <c r="N45" s="365"/>
      <c r="O45" s="363"/>
      <c r="P45" s="334"/>
      <c r="Q45" s="346"/>
      <c r="R45" s="366"/>
      <c r="S45" s="365"/>
      <c r="T45" s="365"/>
      <c r="U45" s="365"/>
      <c r="V45" s="365"/>
      <c r="W45" s="365"/>
      <c r="X45" s="365"/>
      <c r="Y45" s="365"/>
      <c r="Z45" s="365"/>
      <c r="AA45" s="334"/>
    </row>
    <row r="46" spans="1:27" ht="74.25" customHeight="1">
      <c r="A46" s="334" t="s">
        <v>53</v>
      </c>
      <c r="B46" s="335" t="s">
        <v>2951</v>
      </c>
      <c r="C46" s="334" t="s">
        <v>128</v>
      </c>
      <c r="D46" s="334" t="s">
        <v>183</v>
      </c>
      <c r="E46" s="409" t="s">
        <v>3061</v>
      </c>
      <c r="F46" s="334" t="s">
        <v>2956</v>
      </c>
      <c r="G46" s="334" t="s">
        <v>2967</v>
      </c>
      <c r="H46" s="334" t="s">
        <v>3060</v>
      </c>
      <c r="I46" s="343">
        <v>1</v>
      </c>
      <c r="J46" s="343"/>
      <c r="K46" s="365"/>
      <c r="L46" s="362"/>
      <c r="M46" s="365"/>
      <c r="N46" s="365"/>
      <c r="O46" s="363"/>
      <c r="P46" s="334"/>
      <c r="Q46" s="346"/>
      <c r="R46" s="366"/>
      <c r="S46" s="365"/>
      <c r="T46" s="365"/>
      <c r="U46" s="365"/>
      <c r="V46" s="365"/>
      <c r="W46" s="365"/>
      <c r="X46" s="365"/>
      <c r="Y46" s="365"/>
      <c r="Z46" s="365"/>
      <c r="AA46" s="334"/>
    </row>
    <row r="47" spans="1:27" ht="68.45" customHeight="1">
      <c r="A47" s="334" t="s">
        <v>2950</v>
      </c>
      <c r="B47" s="335" t="s">
        <v>2951</v>
      </c>
      <c r="C47" s="334" t="s">
        <v>3019</v>
      </c>
      <c r="D47" s="334" t="s">
        <v>185</v>
      </c>
      <c r="E47" s="334" t="s">
        <v>3062</v>
      </c>
      <c r="F47" s="334" t="s">
        <v>2956</v>
      </c>
      <c r="G47" s="334" t="s">
        <v>2957</v>
      </c>
      <c r="H47" s="334" t="s">
        <v>3063</v>
      </c>
      <c r="I47" s="334" t="s">
        <v>3064</v>
      </c>
      <c r="J47" s="334" t="s">
        <v>2974</v>
      </c>
      <c r="K47" s="352"/>
      <c r="L47" s="362"/>
      <c r="M47" s="352" t="s">
        <v>3065</v>
      </c>
      <c r="N47" s="352"/>
      <c r="O47" s="363"/>
      <c r="P47" s="334"/>
      <c r="Q47" s="340"/>
      <c r="R47" s="364"/>
      <c r="S47" s="352"/>
      <c r="T47" s="352"/>
      <c r="U47" s="352"/>
      <c r="V47" s="352"/>
      <c r="W47" s="352"/>
      <c r="X47" s="352"/>
      <c r="Y47" s="352"/>
      <c r="Z47" s="352"/>
      <c r="AA47" s="334"/>
    </row>
    <row r="48" spans="1:27" s="466" customFormat="1" ht="47.25">
      <c r="A48" s="460" t="s">
        <v>2950</v>
      </c>
      <c r="B48" s="461" t="s">
        <v>2951</v>
      </c>
      <c r="C48" s="460" t="s">
        <v>3019</v>
      </c>
      <c r="D48" s="460" t="s">
        <v>189</v>
      </c>
      <c r="E48" s="460" t="s">
        <v>3066</v>
      </c>
      <c r="F48" s="460" t="s">
        <v>2956</v>
      </c>
      <c r="G48" s="460" t="s">
        <v>2957</v>
      </c>
      <c r="H48" s="460" t="s">
        <v>3067</v>
      </c>
      <c r="I48" s="460" t="s">
        <v>3068</v>
      </c>
      <c r="J48" s="460" t="s">
        <v>2974</v>
      </c>
      <c r="K48" s="460"/>
      <c r="L48" s="462"/>
      <c r="M48" s="460"/>
      <c r="N48" s="460"/>
      <c r="O48" s="463"/>
      <c r="P48" s="460"/>
      <c r="Q48" s="464"/>
      <c r="R48" s="465"/>
      <c r="S48" s="460"/>
      <c r="T48" s="460"/>
      <c r="U48" s="460"/>
      <c r="V48" s="460"/>
      <c r="W48" s="460"/>
      <c r="X48" s="460"/>
      <c r="Y48" s="460"/>
      <c r="Z48" s="460"/>
      <c r="AA48" s="460"/>
    </row>
    <row r="49" spans="1:27" ht="47.25">
      <c r="A49" s="334" t="s">
        <v>2950</v>
      </c>
      <c r="B49" s="335" t="s">
        <v>2951</v>
      </c>
      <c r="C49" s="334" t="s">
        <v>3019</v>
      </c>
      <c r="D49" s="334" t="s">
        <v>193</v>
      </c>
      <c r="E49" s="334" t="s">
        <v>3066</v>
      </c>
      <c r="F49" s="334" t="s">
        <v>2956</v>
      </c>
      <c r="G49" s="334" t="s">
        <v>2957</v>
      </c>
      <c r="H49" s="334" t="s">
        <v>3069</v>
      </c>
      <c r="I49" s="334" t="s">
        <v>3023</v>
      </c>
      <c r="J49" s="334" t="s">
        <v>2974</v>
      </c>
      <c r="K49" s="352"/>
      <c r="L49" s="362"/>
      <c r="M49" s="352"/>
      <c r="N49" s="352"/>
      <c r="O49" s="363"/>
      <c r="P49" s="334"/>
      <c r="Q49" s="340"/>
      <c r="R49" s="364"/>
      <c r="S49" s="352"/>
      <c r="T49" s="352"/>
      <c r="U49" s="352"/>
      <c r="V49" s="352"/>
      <c r="W49" s="352"/>
      <c r="X49" s="352"/>
      <c r="Y49" s="352"/>
      <c r="Z49" s="352"/>
      <c r="AA49" s="334"/>
    </row>
    <row r="50" spans="1:27" ht="98.1" hidden="1" customHeight="1">
      <c r="A50" s="334" t="s">
        <v>2950</v>
      </c>
      <c r="B50" s="335" t="s">
        <v>195</v>
      </c>
      <c r="C50" s="334" t="s">
        <v>3070</v>
      </c>
      <c r="D50" s="334" t="s">
        <v>197</v>
      </c>
      <c r="E50" s="334" t="s">
        <v>3071</v>
      </c>
      <c r="F50" s="442"/>
      <c r="G50" s="442" t="s">
        <v>2957</v>
      </c>
      <c r="H50" s="442"/>
      <c r="I50" s="443"/>
      <c r="J50" s="443"/>
      <c r="K50" s="442"/>
      <c r="L50" s="444"/>
      <c r="M50" s="443"/>
      <c r="N50" s="443"/>
      <c r="O50" s="445"/>
      <c r="P50" s="442"/>
      <c r="Q50" s="346"/>
      <c r="R50" s="448"/>
      <c r="S50" s="443"/>
      <c r="T50" s="443"/>
      <c r="U50" s="443"/>
      <c r="V50" s="443"/>
      <c r="W50" s="443"/>
      <c r="X50" s="443"/>
      <c r="Y50" s="443"/>
      <c r="Z50" s="443"/>
      <c r="AA50" s="442"/>
    </row>
    <row r="51" spans="1:27" ht="47.25" hidden="1">
      <c r="A51" s="334" t="s">
        <v>2950</v>
      </c>
      <c r="B51" s="335" t="s">
        <v>195</v>
      </c>
      <c r="C51" s="334" t="s">
        <v>3070</v>
      </c>
      <c r="D51" s="334" t="s">
        <v>199</v>
      </c>
      <c r="E51" s="348" t="s">
        <v>3072</v>
      </c>
      <c r="F51" s="334" t="s">
        <v>2993</v>
      </c>
      <c r="G51" s="334" t="s">
        <v>2957</v>
      </c>
      <c r="H51" s="334" t="s">
        <v>3073</v>
      </c>
      <c r="I51" s="343">
        <v>1</v>
      </c>
      <c r="J51" s="343" t="s">
        <v>2958</v>
      </c>
      <c r="K51" s="343"/>
      <c r="L51" s="344"/>
      <c r="M51" s="343"/>
      <c r="N51" s="343"/>
      <c r="O51" s="345"/>
      <c r="P51" s="334" t="s">
        <v>3074</v>
      </c>
      <c r="Q51" s="346"/>
      <c r="R51" s="347"/>
      <c r="S51" s="343"/>
      <c r="T51" s="343"/>
      <c r="U51" s="343"/>
      <c r="V51" s="343"/>
      <c r="W51" s="343"/>
      <c r="X51" s="343"/>
      <c r="Y51" s="343"/>
      <c r="Z51" s="343"/>
      <c r="AA51" s="334"/>
    </row>
    <row r="52" spans="1:27" ht="51.6" hidden="1" customHeight="1">
      <c r="A52" s="334" t="s">
        <v>2950</v>
      </c>
      <c r="B52" s="335" t="s">
        <v>195</v>
      </c>
      <c r="C52" s="334" t="s">
        <v>3070</v>
      </c>
      <c r="D52" s="334" t="s">
        <v>202</v>
      </c>
      <c r="E52" s="348" t="s">
        <v>3075</v>
      </c>
      <c r="F52" s="334" t="s">
        <v>2993</v>
      </c>
      <c r="G52" s="334" t="s">
        <v>2957</v>
      </c>
      <c r="H52" s="334" t="s">
        <v>3076</v>
      </c>
      <c r="I52" s="343">
        <v>1</v>
      </c>
      <c r="J52" s="334" t="s">
        <v>2958</v>
      </c>
      <c r="K52" s="334"/>
      <c r="L52" s="344"/>
      <c r="M52" s="334"/>
      <c r="N52" s="334"/>
      <c r="O52" s="345"/>
      <c r="P52" s="334"/>
      <c r="Q52" s="340"/>
      <c r="R52" s="349"/>
      <c r="S52" s="334"/>
      <c r="T52" s="334"/>
      <c r="U52" s="334"/>
      <c r="V52" s="334"/>
      <c r="W52" s="334"/>
      <c r="X52" s="334"/>
      <c r="Y52" s="334"/>
      <c r="Z52" s="334"/>
      <c r="AA52" s="334"/>
    </row>
    <row r="53" spans="1:27" ht="41.45" hidden="1" customHeight="1">
      <c r="A53" s="334" t="s">
        <v>2950</v>
      </c>
      <c r="B53" s="335" t="s">
        <v>195</v>
      </c>
      <c r="C53" s="334" t="s">
        <v>3070</v>
      </c>
      <c r="D53" s="334" t="s">
        <v>205</v>
      </c>
      <c r="E53" s="334" t="s">
        <v>3077</v>
      </c>
      <c r="F53" s="442"/>
      <c r="G53" s="442" t="s">
        <v>2957</v>
      </c>
      <c r="H53" s="442"/>
      <c r="I53" s="443"/>
      <c r="J53" s="443"/>
      <c r="K53" s="442"/>
      <c r="L53" s="444"/>
      <c r="M53" s="443"/>
      <c r="N53" s="443"/>
      <c r="O53" s="445"/>
      <c r="P53" s="442"/>
      <c r="Q53" s="346"/>
      <c r="R53" s="448"/>
      <c r="S53" s="443"/>
      <c r="T53" s="443"/>
      <c r="U53" s="443"/>
      <c r="V53" s="443"/>
      <c r="W53" s="443"/>
      <c r="X53" s="443"/>
      <c r="Y53" s="443"/>
      <c r="Z53" s="443"/>
      <c r="AA53" s="442"/>
    </row>
    <row r="54" spans="1:27" ht="47.25" hidden="1">
      <c r="A54" s="334" t="s">
        <v>2950</v>
      </c>
      <c r="B54" s="335" t="s">
        <v>195</v>
      </c>
      <c r="C54" s="334" t="s">
        <v>3070</v>
      </c>
      <c r="D54" s="334" t="s">
        <v>207</v>
      </c>
      <c r="E54" s="348" t="s">
        <v>3078</v>
      </c>
      <c r="F54" s="334" t="s">
        <v>2993</v>
      </c>
      <c r="G54" s="334" t="s">
        <v>2957</v>
      </c>
      <c r="H54" s="334" t="s">
        <v>3079</v>
      </c>
      <c r="I54" s="334" t="s">
        <v>3080</v>
      </c>
      <c r="J54" s="334" t="s">
        <v>2958</v>
      </c>
      <c r="K54" s="334"/>
      <c r="L54" s="344"/>
      <c r="M54" s="334"/>
      <c r="N54" s="334"/>
      <c r="O54" s="345"/>
      <c r="P54" s="334"/>
      <c r="Q54" s="340"/>
      <c r="R54" s="349"/>
      <c r="S54" s="334"/>
      <c r="T54" s="334"/>
      <c r="U54" s="334"/>
      <c r="V54" s="334"/>
      <c r="W54" s="334"/>
      <c r="X54" s="334"/>
      <c r="Y54" s="334"/>
      <c r="Z54" s="334"/>
      <c r="AA54" s="334"/>
    </row>
    <row r="55" spans="1:27" ht="66" hidden="1" customHeight="1">
      <c r="A55" s="334" t="s">
        <v>2950</v>
      </c>
      <c r="B55" s="335" t="s">
        <v>195</v>
      </c>
      <c r="C55" s="334" t="s">
        <v>3070</v>
      </c>
      <c r="D55" s="334" t="s">
        <v>211</v>
      </c>
      <c r="E55" s="348" t="s">
        <v>3081</v>
      </c>
      <c r="F55" s="334" t="s">
        <v>2993</v>
      </c>
      <c r="G55" s="334" t="s">
        <v>2957</v>
      </c>
      <c r="H55" s="334" t="s">
        <v>3082</v>
      </c>
      <c r="I55" s="334" t="s">
        <v>3083</v>
      </c>
      <c r="J55" s="334" t="s">
        <v>2958</v>
      </c>
      <c r="K55" s="334"/>
      <c r="L55" s="344"/>
      <c r="M55" s="334"/>
      <c r="N55" s="334"/>
      <c r="O55" s="345"/>
      <c r="P55" s="334"/>
      <c r="Q55" s="340"/>
      <c r="R55" s="349"/>
      <c r="S55" s="334"/>
      <c r="T55" s="334"/>
      <c r="U55" s="334"/>
      <c r="V55" s="334"/>
      <c r="W55" s="334"/>
      <c r="X55" s="334"/>
      <c r="Y55" s="334"/>
      <c r="Z55" s="334"/>
      <c r="AA55" s="334"/>
    </row>
    <row r="56" spans="1:27" ht="47.25" hidden="1">
      <c r="A56" s="334" t="s">
        <v>2950</v>
      </c>
      <c r="B56" s="335" t="s">
        <v>195</v>
      </c>
      <c r="C56" s="334" t="s">
        <v>3070</v>
      </c>
      <c r="D56" s="334" t="s">
        <v>215</v>
      </c>
      <c r="E56" s="334" t="s">
        <v>3084</v>
      </c>
      <c r="F56" s="334" t="s">
        <v>2993</v>
      </c>
      <c r="G56" s="334" t="s">
        <v>2957</v>
      </c>
      <c r="H56" s="334" t="s">
        <v>3085</v>
      </c>
      <c r="I56" s="334" t="s">
        <v>3083</v>
      </c>
      <c r="J56" s="334" t="s">
        <v>3000</v>
      </c>
      <c r="K56" s="334"/>
      <c r="L56" s="344"/>
      <c r="M56" s="334"/>
      <c r="N56" s="334"/>
      <c r="O56" s="345"/>
      <c r="P56" s="334"/>
      <c r="Q56" s="340"/>
      <c r="R56" s="349"/>
      <c r="S56" s="334"/>
      <c r="T56" s="334"/>
      <c r="U56" s="334"/>
      <c r="V56" s="334"/>
      <c r="W56" s="334"/>
      <c r="X56" s="334"/>
      <c r="Y56" s="334"/>
      <c r="Z56" s="334"/>
      <c r="AA56" s="334"/>
    </row>
    <row r="57" spans="1:27" ht="47.25" hidden="1">
      <c r="A57" s="334" t="s">
        <v>2950</v>
      </c>
      <c r="B57" s="335" t="s">
        <v>195</v>
      </c>
      <c r="C57" s="334" t="s">
        <v>3070</v>
      </c>
      <c r="D57" s="334" t="s">
        <v>218</v>
      </c>
      <c r="E57" s="334" t="s">
        <v>3086</v>
      </c>
      <c r="F57" s="334" t="s">
        <v>2993</v>
      </c>
      <c r="G57" s="334" t="s">
        <v>2957</v>
      </c>
      <c r="H57" s="334" t="s">
        <v>3087</v>
      </c>
      <c r="I57" s="334" t="s">
        <v>2999</v>
      </c>
      <c r="J57" s="334" t="s">
        <v>3000</v>
      </c>
      <c r="K57" s="334"/>
      <c r="L57" s="344"/>
      <c r="M57" s="334"/>
      <c r="N57" s="334"/>
      <c r="O57" s="345"/>
      <c r="P57" s="334"/>
      <c r="Q57" s="340"/>
      <c r="R57" s="349"/>
      <c r="S57" s="334"/>
      <c r="T57" s="334"/>
      <c r="U57" s="334"/>
      <c r="V57" s="334"/>
      <c r="W57" s="334"/>
      <c r="X57" s="334"/>
      <c r="Y57" s="334"/>
      <c r="Z57" s="334"/>
      <c r="AA57" s="334"/>
    </row>
    <row r="58" spans="1:27" ht="72.75" hidden="1" customHeight="1">
      <c r="A58" s="334" t="s">
        <v>2950</v>
      </c>
      <c r="B58" s="335" t="s">
        <v>195</v>
      </c>
      <c r="C58" s="334" t="s">
        <v>222</v>
      </c>
      <c r="D58" s="334" t="s">
        <v>223</v>
      </c>
      <c r="E58" s="334" t="s">
        <v>3088</v>
      </c>
      <c r="F58" s="442"/>
      <c r="G58" s="442" t="s">
        <v>2957</v>
      </c>
      <c r="H58" s="442"/>
      <c r="I58" s="443"/>
      <c r="J58" s="443"/>
      <c r="K58" s="442"/>
      <c r="L58" s="444"/>
      <c r="M58" s="443"/>
      <c r="N58" s="443"/>
      <c r="O58" s="445"/>
      <c r="P58" s="442"/>
      <c r="Q58" s="346"/>
      <c r="R58" s="448"/>
      <c r="S58" s="443"/>
      <c r="T58" s="443"/>
      <c r="U58" s="443"/>
      <c r="V58" s="443"/>
      <c r="W58" s="443"/>
      <c r="X58" s="443"/>
      <c r="Y58" s="443"/>
      <c r="Z58" s="443"/>
      <c r="AA58" s="442"/>
    </row>
    <row r="59" spans="1:27" ht="78.75" hidden="1">
      <c r="A59" s="334" t="s">
        <v>2950</v>
      </c>
      <c r="B59" s="335" t="s">
        <v>195</v>
      </c>
      <c r="C59" s="334" t="s">
        <v>222</v>
      </c>
      <c r="D59" s="334" t="s">
        <v>227</v>
      </c>
      <c r="E59" s="348" t="s">
        <v>3089</v>
      </c>
      <c r="F59" s="334" t="s">
        <v>2961</v>
      </c>
      <c r="G59" s="334" t="s">
        <v>2957</v>
      </c>
      <c r="H59" s="334" t="s">
        <v>3090</v>
      </c>
      <c r="I59" s="334" t="s">
        <v>3091</v>
      </c>
      <c r="J59" s="334" t="s">
        <v>3000</v>
      </c>
      <c r="K59" s="334"/>
      <c r="L59" s="344"/>
      <c r="M59" s="334"/>
      <c r="N59" s="334"/>
      <c r="O59" s="345"/>
      <c r="P59" s="334"/>
      <c r="Q59" s="340"/>
      <c r="R59" s="349"/>
      <c r="S59" s="334"/>
      <c r="T59" s="334"/>
      <c r="U59" s="334"/>
      <c r="V59" s="334"/>
      <c r="W59" s="334"/>
      <c r="X59" s="334"/>
      <c r="Y59" s="334"/>
      <c r="Z59" s="334"/>
      <c r="AA59" s="334"/>
    </row>
    <row r="60" spans="1:27" ht="89.25" hidden="1" customHeight="1">
      <c r="A60" s="334" t="s">
        <v>2950</v>
      </c>
      <c r="B60" s="335" t="s">
        <v>195</v>
      </c>
      <c r="C60" s="334" t="s">
        <v>222</v>
      </c>
      <c r="D60" s="334" t="s">
        <v>230</v>
      </c>
      <c r="E60" s="348" t="s">
        <v>3092</v>
      </c>
      <c r="F60" s="334" t="s">
        <v>2966</v>
      </c>
      <c r="G60" s="334" t="s">
        <v>2957</v>
      </c>
      <c r="H60" s="334" t="s">
        <v>3093</v>
      </c>
      <c r="I60" s="334" t="s">
        <v>3091</v>
      </c>
      <c r="J60" s="334" t="s">
        <v>2958</v>
      </c>
      <c r="K60" s="334"/>
      <c r="L60" s="344"/>
      <c r="M60" s="334"/>
      <c r="N60" s="334"/>
      <c r="O60" s="345"/>
      <c r="P60" s="334"/>
      <c r="Q60" s="340"/>
      <c r="R60" s="349"/>
      <c r="S60" s="334"/>
      <c r="T60" s="334"/>
      <c r="U60" s="334"/>
      <c r="V60" s="334"/>
      <c r="W60" s="334"/>
      <c r="X60" s="334"/>
      <c r="Y60" s="334"/>
      <c r="Z60" s="334"/>
      <c r="AA60" s="334"/>
    </row>
    <row r="61" spans="1:27" ht="63" hidden="1">
      <c r="A61" s="334" t="s">
        <v>2950</v>
      </c>
      <c r="B61" s="335" t="s">
        <v>195</v>
      </c>
      <c r="C61" s="334" t="s">
        <v>222</v>
      </c>
      <c r="D61" s="334" t="s">
        <v>233</v>
      </c>
      <c r="E61" s="348" t="s">
        <v>3094</v>
      </c>
      <c r="F61" s="334" t="s">
        <v>2993</v>
      </c>
      <c r="G61" s="334" t="s">
        <v>2957</v>
      </c>
      <c r="H61" s="334" t="s">
        <v>3095</v>
      </c>
      <c r="I61" s="334" t="s">
        <v>3091</v>
      </c>
      <c r="J61" s="334" t="s">
        <v>2958</v>
      </c>
      <c r="K61" s="334"/>
      <c r="L61" s="344"/>
      <c r="M61" s="334"/>
      <c r="N61" s="334"/>
      <c r="O61" s="345"/>
      <c r="P61" s="334"/>
      <c r="Q61" s="340"/>
      <c r="R61" s="349"/>
      <c r="S61" s="334"/>
      <c r="T61" s="334"/>
      <c r="U61" s="334"/>
      <c r="V61" s="334"/>
      <c r="W61" s="334"/>
      <c r="X61" s="334"/>
      <c r="Y61" s="334"/>
      <c r="Z61" s="334"/>
      <c r="AA61" s="334"/>
    </row>
    <row r="62" spans="1:27" ht="63" hidden="1">
      <c r="A62" s="334" t="s">
        <v>2950</v>
      </c>
      <c r="B62" s="335" t="s">
        <v>195</v>
      </c>
      <c r="C62" s="334" t="s">
        <v>222</v>
      </c>
      <c r="D62" s="334" t="s">
        <v>236</v>
      </c>
      <c r="E62" s="348" t="s">
        <v>3096</v>
      </c>
      <c r="F62" s="334" t="s">
        <v>2993</v>
      </c>
      <c r="G62" s="334" t="s">
        <v>2957</v>
      </c>
      <c r="H62" s="334" t="s">
        <v>3097</v>
      </c>
      <c r="I62" s="334" t="s">
        <v>3091</v>
      </c>
      <c r="J62" s="334" t="s">
        <v>3000</v>
      </c>
      <c r="K62" s="334"/>
      <c r="L62" s="344"/>
      <c r="M62" s="334"/>
      <c r="N62" s="334"/>
      <c r="O62" s="345"/>
      <c r="P62" s="334"/>
      <c r="Q62" s="340"/>
      <c r="R62" s="349"/>
      <c r="S62" s="334"/>
      <c r="T62" s="334"/>
      <c r="U62" s="334"/>
      <c r="V62" s="334"/>
      <c r="W62" s="334"/>
      <c r="X62" s="334"/>
      <c r="Y62" s="334"/>
      <c r="Z62" s="334"/>
      <c r="AA62" s="334"/>
    </row>
    <row r="63" spans="1:27" ht="63" hidden="1">
      <c r="A63" s="334" t="s">
        <v>2950</v>
      </c>
      <c r="B63" s="335" t="s">
        <v>195</v>
      </c>
      <c r="C63" s="334" t="s">
        <v>222</v>
      </c>
      <c r="D63" s="334" t="s">
        <v>239</v>
      </c>
      <c r="E63" s="348" t="s">
        <v>3098</v>
      </c>
      <c r="F63" s="334" t="s">
        <v>2964</v>
      </c>
      <c r="G63" s="334" t="s">
        <v>2957</v>
      </c>
      <c r="H63" s="334" t="s">
        <v>3099</v>
      </c>
      <c r="I63" s="334" t="s">
        <v>3091</v>
      </c>
      <c r="J63" s="334" t="s">
        <v>2958</v>
      </c>
      <c r="K63" s="334"/>
      <c r="L63" s="344"/>
      <c r="M63" s="334"/>
      <c r="N63" s="334"/>
      <c r="O63" s="345"/>
      <c r="P63" s="334"/>
      <c r="Q63" s="340"/>
      <c r="R63" s="349"/>
      <c r="S63" s="334"/>
      <c r="T63" s="334"/>
      <c r="U63" s="334"/>
      <c r="V63" s="334"/>
      <c r="W63" s="334"/>
      <c r="X63" s="334"/>
      <c r="Y63" s="334"/>
      <c r="Z63" s="334"/>
      <c r="AA63" s="334"/>
    </row>
    <row r="64" spans="1:27" ht="63" hidden="1">
      <c r="A64" s="334" t="s">
        <v>2950</v>
      </c>
      <c r="B64" s="335" t="s">
        <v>195</v>
      </c>
      <c r="C64" s="334" t="s">
        <v>222</v>
      </c>
      <c r="D64" s="334" t="s">
        <v>242</v>
      </c>
      <c r="E64" s="348" t="s">
        <v>3100</v>
      </c>
      <c r="F64" s="334" t="s">
        <v>2964</v>
      </c>
      <c r="G64" s="334" t="s">
        <v>2957</v>
      </c>
      <c r="H64" s="334" t="s">
        <v>3101</v>
      </c>
      <c r="I64" s="334" t="s">
        <v>3091</v>
      </c>
      <c r="J64" s="334" t="s">
        <v>2958</v>
      </c>
      <c r="K64" s="334"/>
      <c r="L64" s="344"/>
      <c r="M64" s="334"/>
      <c r="N64" s="334"/>
      <c r="O64" s="345"/>
      <c r="P64" s="334"/>
      <c r="Q64" s="340"/>
      <c r="R64" s="349"/>
      <c r="S64" s="334"/>
      <c r="T64" s="334"/>
      <c r="U64" s="334"/>
      <c r="V64" s="334"/>
      <c r="W64" s="334"/>
      <c r="X64" s="334"/>
      <c r="Y64" s="334"/>
      <c r="Z64" s="334"/>
      <c r="AA64" s="334"/>
    </row>
    <row r="65" spans="1:27" ht="63" hidden="1">
      <c r="A65" s="334" t="s">
        <v>2950</v>
      </c>
      <c r="B65" s="335" t="s">
        <v>195</v>
      </c>
      <c r="C65" s="334" t="s">
        <v>222</v>
      </c>
      <c r="D65" s="334" t="s">
        <v>245</v>
      </c>
      <c r="E65" s="348" t="s">
        <v>3102</v>
      </c>
      <c r="F65" s="334" t="s">
        <v>2964</v>
      </c>
      <c r="G65" s="334" t="s">
        <v>2957</v>
      </c>
      <c r="H65" s="334" t="s">
        <v>3103</v>
      </c>
      <c r="I65" s="334" t="s">
        <v>3091</v>
      </c>
      <c r="J65" s="334" t="s">
        <v>2958</v>
      </c>
      <c r="K65" s="334"/>
      <c r="L65" s="344"/>
      <c r="M65" s="334"/>
      <c r="N65" s="334"/>
      <c r="O65" s="345"/>
      <c r="P65" s="334"/>
      <c r="Q65" s="340"/>
      <c r="R65" s="349"/>
      <c r="S65" s="334"/>
      <c r="T65" s="334"/>
      <c r="U65" s="334"/>
      <c r="V65" s="334"/>
      <c r="W65" s="334"/>
      <c r="X65" s="334"/>
      <c r="Y65" s="334"/>
      <c r="Z65" s="334"/>
      <c r="AA65" s="334"/>
    </row>
    <row r="66" spans="1:27" ht="78.75" hidden="1">
      <c r="A66" s="334" t="s">
        <v>2950</v>
      </c>
      <c r="B66" s="335" t="s">
        <v>195</v>
      </c>
      <c r="C66" s="334" t="s">
        <v>222</v>
      </c>
      <c r="D66" s="334" t="s">
        <v>248</v>
      </c>
      <c r="E66" s="348" t="s">
        <v>3104</v>
      </c>
      <c r="F66" s="334" t="s">
        <v>2966</v>
      </c>
      <c r="G66" s="334" t="s">
        <v>2957</v>
      </c>
      <c r="H66" s="334" t="s">
        <v>3105</v>
      </c>
      <c r="I66" s="334" t="s">
        <v>3091</v>
      </c>
      <c r="J66" s="334" t="s">
        <v>2958</v>
      </c>
      <c r="K66" s="334"/>
      <c r="L66" s="344"/>
      <c r="M66" s="334"/>
      <c r="N66" s="334"/>
      <c r="O66" s="345"/>
      <c r="P66" s="334"/>
      <c r="Q66" s="340"/>
      <c r="R66" s="349"/>
      <c r="S66" s="334"/>
      <c r="T66" s="334"/>
      <c r="U66" s="334"/>
      <c r="V66" s="334"/>
      <c r="W66" s="334"/>
      <c r="X66" s="334"/>
      <c r="Y66" s="334"/>
      <c r="Z66" s="334"/>
      <c r="AA66" s="334"/>
    </row>
    <row r="67" spans="1:27" ht="82.5" hidden="1" customHeight="1">
      <c r="A67" s="334" t="s">
        <v>2950</v>
      </c>
      <c r="B67" s="335" t="s">
        <v>195</v>
      </c>
      <c r="C67" s="334" t="s">
        <v>3106</v>
      </c>
      <c r="D67" s="334" t="s">
        <v>252</v>
      </c>
      <c r="E67" s="334" t="s">
        <v>3107</v>
      </c>
      <c r="F67" s="334" t="s">
        <v>2964</v>
      </c>
      <c r="G67" s="334" t="s">
        <v>2957</v>
      </c>
      <c r="H67" s="334" t="s">
        <v>3108</v>
      </c>
      <c r="I67" s="334" t="s">
        <v>3109</v>
      </c>
      <c r="J67" s="334" t="s">
        <v>2958</v>
      </c>
      <c r="K67" s="334"/>
      <c r="L67" s="344"/>
      <c r="M67" s="334"/>
      <c r="N67" s="334"/>
      <c r="O67" s="345"/>
      <c r="P67" s="334"/>
      <c r="Q67" s="340"/>
      <c r="R67" s="349"/>
      <c r="S67" s="334"/>
      <c r="T67" s="334"/>
      <c r="U67" s="334"/>
      <c r="V67" s="334"/>
      <c r="W67" s="334"/>
      <c r="X67" s="334"/>
      <c r="Y67" s="334"/>
      <c r="Z67" s="334"/>
      <c r="AA67" s="334"/>
    </row>
    <row r="68" spans="1:27" ht="64.5" hidden="1" customHeight="1">
      <c r="A68" s="334" t="s">
        <v>2950</v>
      </c>
      <c r="B68" s="335" t="s">
        <v>195</v>
      </c>
      <c r="C68" s="334" t="s">
        <v>3110</v>
      </c>
      <c r="D68" s="334" t="s">
        <v>257</v>
      </c>
      <c r="E68" s="334" t="s">
        <v>3111</v>
      </c>
      <c r="F68" s="334" t="s">
        <v>2993</v>
      </c>
      <c r="G68" s="334" t="s">
        <v>2957</v>
      </c>
      <c r="H68" s="334" t="s">
        <v>3112</v>
      </c>
      <c r="I68" s="334" t="s">
        <v>3113</v>
      </c>
      <c r="J68" s="334" t="s">
        <v>3000</v>
      </c>
      <c r="K68" s="334"/>
      <c r="L68" s="344"/>
      <c r="M68" s="334"/>
      <c r="N68" s="334"/>
      <c r="O68" s="345"/>
      <c r="P68" s="334"/>
      <c r="Q68" s="340"/>
      <c r="R68" s="349"/>
      <c r="S68" s="334"/>
      <c r="T68" s="334"/>
      <c r="U68" s="334"/>
      <c r="V68" s="334"/>
      <c r="W68" s="334"/>
      <c r="X68" s="334"/>
      <c r="Y68" s="334"/>
      <c r="Z68" s="334"/>
      <c r="AA68" s="334"/>
    </row>
    <row r="69" spans="1:27" ht="33.75" hidden="1" customHeight="1">
      <c r="A69" s="334" t="s">
        <v>2950</v>
      </c>
      <c r="B69" s="335" t="s">
        <v>195</v>
      </c>
      <c r="C69" s="334" t="s">
        <v>3110</v>
      </c>
      <c r="D69" s="334" t="s">
        <v>261</v>
      </c>
      <c r="E69" s="334" t="s">
        <v>3114</v>
      </c>
      <c r="F69" s="334" t="s">
        <v>3009</v>
      </c>
      <c r="G69" s="334" t="s">
        <v>2957</v>
      </c>
      <c r="H69" s="334" t="s">
        <v>3115</v>
      </c>
      <c r="I69" s="334" t="s">
        <v>3113</v>
      </c>
      <c r="J69" s="334" t="s">
        <v>2974</v>
      </c>
      <c r="K69" s="334"/>
      <c r="L69" s="344"/>
      <c r="M69" s="334"/>
      <c r="N69" s="334"/>
      <c r="O69" s="345"/>
      <c r="P69" s="334"/>
      <c r="Q69" s="340"/>
      <c r="R69" s="349"/>
      <c r="S69" s="334"/>
      <c r="T69" s="334"/>
      <c r="U69" s="334"/>
      <c r="V69" s="334"/>
      <c r="W69" s="334"/>
      <c r="X69" s="334"/>
      <c r="Y69" s="334"/>
      <c r="Z69" s="334"/>
      <c r="AA69" s="334"/>
    </row>
    <row r="70" spans="1:27" ht="78.75" hidden="1">
      <c r="A70" s="334" t="s">
        <v>2950</v>
      </c>
      <c r="B70" s="335" t="s">
        <v>195</v>
      </c>
      <c r="C70" s="334" t="s">
        <v>3110</v>
      </c>
      <c r="D70" s="334" t="s">
        <v>264</v>
      </c>
      <c r="E70" s="334" t="s">
        <v>3116</v>
      </c>
      <c r="F70" s="334" t="s">
        <v>2993</v>
      </c>
      <c r="G70" s="334" t="s">
        <v>2957</v>
      </c>
      <c r="H70" s="334" t="s">
        <v>3117</v>
      </c>
      <c r="I70" s="334" t="s">
        <v>3118</v>
      </c>
      <c r="J70" s="334" t="s">
        <v>3000</v>
      </c>
      <c r="K70" s="334"/>
      <c r="L70" s="344"/>
      <c r="M70" s="334"/>
      <c r="N70" s="334"/>
      <c r="O70" s="345"/>
      <c r="P70" s="334"/>
      <c r="Q70" s="340"/>
      <c r="R70" s="349"/>
      <c r="S70" s="334"/>
      <c r="T70" s="334"/>
      <c r="U70" s="334"/>
      <c r="V70" s="334"/>
      <c r="W70" s="334"/>
      <c r="X70" s="334"/>
      <c r="Y70" s="334"/>
      <c r="Z70" s="334"/>
      <c r="AA70" s="334"/>
    </row>
    <row r="71" spans="1:27" ht="69.75" hidden="1" customHeight="1">
      <c r="A71" s="334" t="s">
        <v>2950</v>
      </c>
      <c r="B71" s="335" t="s">
        <v>195</v>
      </c>
      <c r="C71" s="334" t="s">
        <v>3110</v>
      </c>
      <c r="D71" s="334" t="s">
        <v>267</v>
      </c>
      <c r="E71" s="334" t="s">
        <v>3119</v>
      </c>
      <c r="F71" s="334" t="s">
        <v>2993</v>
      </c>
      <c r="G71" s="334" t="s">
        <v>2957</v>
      </c>
      <c r="H71" s="334" t="s">
        <v>3120</v>
      </c>
      <c r="I71" s="334" t="s">
        <v>3121</v>
      </c>
      <c r="J71" s="334" t="s">
        <v>3000</v>
      </c>
      <c r="K71" s="334"/>
      <c r="L71" s="344"/>
      <c r="M71" s="334"/>
      <c r="N71" s="334"/>
      <c r="O71" s="345"/>
      <c r="P71" s="334"/>
      <c r="Q71" s="340"/>
      <c r="R71" s="349"/>
      <c r="S71" s="334"/>
      <c r="T71" s="334"/>
      <c r="U71" s="334"/>
      <c r="V71" s="334"/>
      <c r="W71" s="334"/>
      <c r="X71" s="334"/>
      <c r="Y71" s="334"/>
      <c r="Z71" s="334"/>
      <c r="AA71" s="334"/>
    </row>
    <row r="72" spans="1:27" ht="63.75" hidden="1" customHeight="1">
      <c r="A72" s="334" t="s">
        <v>2950</v>
      </c>
      <c r="B72" s="335" t="s">
        <v>195</v>
      </c>
      <c r="C72" s="334" t="s">
        <v>3110</v>
      </c>
      <c r="D72" s="334" t="s">
        <v>271</v>
      </c>
      <c r="E72" s="334" t="s">
        <v>3122</v>
      </c>
      <c r="F72" s="334" t="s">
        <v>2956</v>
      </c>
      <c r="G72" s="334" t="s">
        <v>2967</v>
      </c>
      <c r="H72" s="334" t="s">
        <v>3123</v>
      </c>
      <c r="I72" s="334" t="s">
        <v>3023</v>
      </c>
      <c r="J72" s="334"/>
      <c r="K72" s="334"/>
      <c r="L72" s="344"/>
      <c r="M72" s="334"/>
      <c r="N72" s="334"/>
      <c r="O72" s="345"/>
      <c r="P72" s="334"/>
      <c r="Q72" s="340"/>
      <c r="R72" s="349"/>
      <c r="S72" s="334"/>
      <c r="T72" s="334"/>
      <c r="U72" s="334"/>
      <c r="V72" s="334"/>
      <c r="W72" s="334"/>
      <c r="X72" s="334"/>
      <c r="Y72" s="334"/>
      <c r="Z72" s="334"/>
      <c r="AA72" s="334"/>
    </row>
    <row r="73" spans="1:27" ht="69.599999999999994" hidden="1" customHeight="1">
      <c r="A73" s="334" t="s">
        <v>2950</v>
      </c>
      <c r="B73" s="335" t="s">
        <v>274</v>
      </c>
      <c r="C73" s="334" t="s">
        <v>3124</v>
      </c>
      <c r="D73" s="334" t="s">
        <v>276</v>
      </c>
      <c r="E73" s="334" t="s">
        <v>3125</v>
      </c>
      <c r="F73" s="442"/>
      <c r="G73" s="442" t="s">
        <v>2957</v>
      </c>
      <c r="H73" s="442"/>
      <c r="I73" s="442"/>
      <c r="J73" s="442"/>
      <c r="K73" s="442"/>
      <c r="L73" s="444"/>
      <c r="M73" s="442"/>
      <c r="N73" s="442"/>
      <c r="O73" s="445"/>
      <c r="P73" s="442"/>
      <c r="Q73" s="340"/>
      <c r="R73" s="446"/>
      <c r="S73" s="442"/>
      <c r="T73" s="442"/>
      <c r="U73" s="442"/>
      <c r="V73" s="442"/>
      <c r="W73" s="442"/>
      <c r="X73" s="442"/>
      <c r="Y73" s="442"/>
      <c r="Z73" s="442"/>
      <c r="AA73" s="442"/>
    </row>
    <row r="74" spans="1:27" ht="130.5" hidden="1" customHeight="1">
      <c r="A74" s="334"/>
      <c r="B74" s="335" t="s">
        <v>274</v>
      </c>
      <c r="C74" s="334" t="s">
        <v>3124</v>
      </c>
      <c r="D74" s="334" t="s">
        <v>278</v>
      </c>
      <c r="E74" s="348" t="s">
        <v>3126</v>
      </c>
      <c r="F74" s="334" t="s">
        <v>2956</v>
      </c>
      <c r="G74" s="334" t="s">
        <v>2957</v>
      </c>
      <c r="H74" s="334" t="s">
        <v>3127</v>
      </c>
      <c r="I74" s="367">
        <v>1</v>
      </c>
      <c r="J74" s="334" t="s">
        <v>2958</v>
      </c>
      <c r="K74" s="334"/>
      <c r="L74" s="344"/>
      <c r="M74" s="334"/>
      <c r="N74" s="334"/>
      <c r="O74" s="345"/>
      <c r="P74" s="334"/>
      <c r="Q74" s="340"/>
      <c r="R74" s="349"/>
      <c r="S74" s="334"/>
      <c r="T74" s="334"/>
      <c r="U74" s="334"/>
      <c r="V74" s="334"/>
      <c r="W74" s="334"/>
      <c r="X74" s="334"/>
      <c r="Y74" s="334"/>
      <c r="Z74" s="334"/>
      <c r="AA74" s="334"/>
    </row>
    <row r="75" spans="1:27" ht="126" hidden="1">
      <c r="A75" s="334" t="s">
        <v>2950</v>
      </c>
      <c r="B75" s="335" t="s">
        <v>274</v>
      </c>
      <c r="C75" s="334" t="s">
        <v>3124</v>
      </c>
      <c r="D75" s="334" t="s">
        <v>281</v>
      </c>
      <c r="E75" s="348" t="s">
        <v>3126</v>
      </c>
      <c r="F75" s="334" t="s">
        <v>2956</v>
      </c>
      <c r="G75" s="334" t="s">
        <v>2957</v>
      </c>
      <c r="H75" s="334" t="s">
        <v>3128</v>
      </c>
      <c r="I75" s="367">
        <v>1</v>
      </c>
      <c r="J75" s="343" t="s">
        <v>2958</v>
      </c>
      <c r="K75" s="343"/>
      <c r="L75" s="344"/>
      <c r="M75" s="343"/>
      <c r="N75" s="343"/>
      <c r="O75" s="345"/>
      <c r="P75" s="334"/>
      <c r="Q75" s="346"/>
      <c r="R75" s="347"/>
      <c r="S75" s="343"/>
      <c r="T75" s="343"/>
      <c r="U75" s="343"/>
      <c r="V75" s="343"/>
      <c r="W75" s="343"/>
      <c r="X75" s="343"/>
      <c r="Y75" s="343"/>
      <c r="Z75" s="343"/>
      <c r="AA75" s="334"/>
    </row>
    <row r="76" spans="1:27" ht="89.1" hidden="1" customHeight="1">
      <c r="A76" s="334" t="s">
        <v>2950</v>
      </c>
      <c r="B76" s="335" t="s">
        <v>274</v>
      </c>
      <c r="C76" s="334" t="s">
        <v>3124</v>
      </c>
      <c r="D76" s="334" t="s">
        <v>283</v>
      </c>
      <c r="E76" s="348" t="s">
        <v>3129</v>
      </c>
      <c r="F76" s="334" t="s">
        <v>2956</v>
      </c>
      <c r="G76" s="334" t="s">
        <v>2957</v>
      </c>
      <c r="H76" s="334" t="s">
        <v>3130</v>
      </c>
      <c r="I76" s="367">
        <v>1</v>
      </c>
      <c r="J76" s="334" t="s">
        <v>2958</v>
      </c>
      <c r="K76" s="334"/>
      <c r="L76" s="344"/>
      <c r="M76" s="334"/>
      <c r="N76" s="334"/>
      <c r="O76" s="345"/>
      <c r="P76" s="334"/>
      <c r="Q76" s="340"/>
      <c r="R76" s="349"/>
      <c r="S76" s="334"/>
      <c r="T76" s="334"/>
      <c r="U76" s="334"/>
      <c r="V76" s="334"/>
      <c r="W76" s="334"/>
      <c r="X76" s="334"/>
      <c r="Y76" s="334"/>
      <c r="Z76" s="334"/>
      <c r="AA76" s="334"/>
    </row>
    <row r="77" spans="1:27" ht="78.75" hidden="1">
      <c r="A77" s="334"/>
      <c r="B77" s="335" t="s">
        <v>274</v>
      </c>
      <c r="C77" s="334" t="s">
        <v>3124</v>
      </c>
      <c r="D77" s="334" t="s">
        <v>286</v>
      </c>
      <c r="E77" s="348" t="s">
        <v>3129</v>
      </c>
      <c r="F77" s="334" t="s">
        <v>2956</v>
      </c>
      <c r="G77" s="334" t="s">
        <v>2957</v>
      </c>
      <c r="H77" s="334" t="s">
        <v>3131</v>
      </c>
      <c r="I77" s="367">
        <v>1</v>
      </c>
      <c r="J77" s="334" t="s">
        <v>2958</v>
      </c>
      <c r="K77" s="334"/>
      <c r="L77" s="344"/>
      <c r="M77" s="334"/>
      <c r="N77" s="334"/>
      <c r="O77" s="345"/>
      <c r="P77" s="334"/>
      <c r="Q77" s="340"/>
      <c r="R77" s="349"/>
      <c r="S77" s="334"/>
      <c r="T77" s="334"/>
      <c r="U77" s="334"/>
      <c r="V77" s="334"/>
      <c r="W77" s="334"/>
      <c r="X77" s="334"/>
      <c r="Y77" s="334"/>
      <c r="Z77" s="334"/>
      <c r="AA77" s="334"/>
    </row>
    <row r="78" spans="1:27" ht="63" hidden="1">
      <c r="A78" s="334" t="s">
        <v>2950</v>
      </c>
      <c r="B78" s="335" t="s">
        <v>274</v>
      </c>
      <c r="C78" s="334" t="s">
        <v>3124</v>
      </c>
      <c r="D78" s="334" t="s">
        <v>288</v>
      </c>
      <c r="E78" s="348" t="s">
        <v>3132</v>
      </c>
      <c r="F78" s="334" t="s">
        <v>2956</v>
      </c>
      <c r="G78" s="334" t="s">
        <v>2957</v>
      </c>
      <c r="H78" s="334" t="s">
        <v>3133</v>
      </c>
      <c r="I78" s="367">
        <v>1</v>
      </c>
      <c r="J78" s="334" t="s">
        <v>2958</v>
      </c>
      <c r="K78" s="334"/>
      <c r="L78" s="344"/>
      <c r="M78" s="334"/>
      <c r="N78" s="334"/>
      <c r="O78" s="345"/>
      <c r="P78" s="334"/>
      <c r="Q78" s="340"/>
      <c r="R78" s="349"/>
      <c r="S78" s="334"/>
      <c r="T78" s="334"/>
      <c r="U78" s="334"/>
      <c r="V78" s="334"/>
      <c r="W78" s="334"/>
      <c r="X78" s="334"/>
      <c r="Y78" s="334"/>
      <c r="Z78" s="334"/>
      <c r="AA78" s="334"/>
    </row>
    <row r="79" spans="1:27" ht="63" hidden="1">
      <c r="A79" s="334" t="s">
        <v>2950</v>
      </c>
      <c r="B79" s="335" t="s">
        <v>274</v>
      </c>
      <c r="C79" s="334" t="s">
        <v>3124</v>
      </c>
      <c r="D79" s="334" t="s">
        <v>291</v>
      </c>
      <c r="E79" s="348" t="s">
        <v>3134</v>
      </c>
      <c r="F79" s="334" t="s">
        <v>2956</v>
      </c>
      <c r="G79" s="334" t="s">
        <v>2957</v>
      </c>
      <c r="H79" s="334" t="s">
        <v>3135</v>
      </c>
      <c r="I79" s="367">
        <v>1</v>
      </c>
      <c r="J79" s="334" t="s">
        <v>2958</v>
      </c>
      <c r="K79" s="334"/>
      <c r="L79" s="344"/>
      <c r="M79" s="334"/>
      <c r="N79" s="334"/>
      <c r="O79" s="345"/>
      <c r="P79" s="334"/>
      <c r="Q79" s="340"/>
      <c r="R79" s="349"/>
      <c r="S79" s="334"/>
      <c r="T79" s="334"/>
      <c r="U79" s="334"/>
      <c r="V79" s="334"/>
      <c r="W79" s="334"/>
      <c r="X79" s="334"/>
      <c r="Y79" s="334"/>
      <c r="Z79" s="334"/>
      <c r="AA79" s="334"/>
    </row>
    <row r="80" spans="1:27" ht="71.099999999999994" hidden="1" customHeight="1">
      <c r="A80" s="334" t="s">
        <v>2950</v>
      </c>
      <c r="B80" s="335" t="s">
        <v>274</v>
      </c>
      <c r="C80" s="334" t="s">
        <v>293</v>
      </c>
      <c r="D80" s="334" t="s">
        <v>294</v>
      </c>
      <c r="E80" s="334" t="s">
        <v>3136</v>
      </c>
      <c r="F80" s="334" t="s">
        <v>2993</v>
      </c>
      <c r="G80" s="334" t="s">
        <v>2967</v>
      </c>
      <c r="H80" s="334" t="s">
        <v>3137</v>
      </c>
      <c r="I80" s="334" t="s">
        <v>3138</v>
      </c>
      <c r="J80" s="334"/>
      <c r="K80" s="334"/>
      <c r="L80" s="344"/>
      <c r="M80" s="334"/>
      <c r="N80" s="334"/>
      <c r="O80" s="345"/>
      <c r="P80" s="334"/>
      <c r="Q80" s="340"/>
      <c r="R80" s="349"/>
      <c r="S80" s="334"/>
      <c r="T80" s="334"/>
      <c r="U80" s="334"/>
      <c r="V80" s="334"/>
      <c r="W80" s="334"/>
      <c r="X80" s="334"/>
      <c r="Y80" s="334"/>
      <c r="Z80" s="334"/>
      <c r="AA80" s="334"/>
    </row>
    <row r="81" spans="1:27" ht="51.95" hidden="1" customHeight="1">
      <c r="A81" s="334" t="s">
        <v>2950</v>
      </c>
      <c r="B81" s="335" t="s">
        <v>274</v>
      </c>
      <c r="C81" s="334" t="s">
        <v>3139</v>
      </c>
      <c r="D81" s="334" t="s">
        <v>299</v>
      </c>
      <c r="E81" s="334" t="s">
        <v>3140</v>
      </c>
      <c r="F81" s="442"/>
      <c r="G81" s="442" t="s">
        <v>2957</v>
      </c>
      <c r="H81" s="442"/>
      <c r="I81" s="442"/>
      <c r="J81" s="442"/>
      <c r="K81" s="442"/>
      <c r="L81" s="444"/>
      <c r="M81" s="442"/>
      <c r="N81" s="442"/>
      <c r="O81" s="445"/>
      <c r="P81" s="442"/>
      <c r="Q81" s="340"/>
      <c r="R81" s="446"/>
      <c r="S81" s="442"/>
      <c r="T81" s="442"/>
      <c r="U81" s="442"/>
      <c r="V81" s="442"/>
      <c r="W81" s="442"/>
      <c r="X81" s="442"/>
      <c r="Y81" s="442"/>
      <c r="Z81" s="442"/>
      <c r="AA81" s="442"/>
    </row>
    <row r="82" spans="1:27" ht="47.25" hidden="1">
      <c r="A82" s="334" t="s">
        <v>2950</v>
      </c>
      <c r="B82" s="335" t="s">
        <v>274</v>
      </c>
      <c r="C82" s="334" t="s">
        <v>3139</v>
      </c>
      <c r="D82" s="334" t="s">
        <v>301</v>
      </c>
      <c r="E82" s="348" t="s">
        <v>3141</v>
      </c>
      <c r="F82" s="334" t="s">
        <v>2993</v>
      </c>
      <c r="G82" s="334" t="s">
        <v>2957</v>
      </c>
      <c r="H82" s="334" t="s">
        <v>3142</v>
      </c>
      <c r="I82" s="334" t="s">
        <v>3080</v>
      </c>
      <c r="J82" s="334" t="s">
        <v>2958</v>
      </c>
      <c r="K82" s="334"/>
      <c r="L82" s="344"/>
      <c r="M82" s="334"/>
      <c r="N82" s="334"/>
      <c r="O82" s="345"/>
      <c r="P82" s="334"/>
      <c r="Q82" s="340"/>
      <c r="R82" s="349"/>
      <c r="S82" s="334"/>
      <c r="T82" s="334"/>
      <c r="U82" s="334"/>
      <c r="V82" s="334"/>
      <c r="W82" s="334"/>
      <c r="X82" s="334"/>
      <c r="Y82" s="334"/>
      <c r="Z82" s="334"/>
      <c r="AA82" s="334"/>
    </row>
    <row r="83" spans="1:27" ht="84.95" hidden="1" customHeight="1">
      <c r="A83" s="334" t="s">
        <v>2950</v>
      </c>
      <c r="B83" s="335" t="s">
        <v>274</v>
      </c>
      <c r="C83" s="334" t="s">
        <v>3139</v>
      </c>
      <c r="D83" s="334" t="s">
        <v>304</v>
      </c>
      <c r="E83" s="348" t="s">
        <v>3143</v>
      </c>
      <c r="F83" s="334" t="s">
        <v>2993</v>
      </c>
      <c r="G83" s="334" t="s">
        <v>2957</v>
      </c>
      <c r="H83" s="334" t="s">
        <v>3144</v>
      </c>
      <c r="I83" s="334" t="s">
        <v>3080</v>
      </c>
      <c r="J83" s="334" t="s">
        <v>2958</v>
      </c>
      <c r="K83" s="334"/>
      <c r="L83" s="344"/>
      <c r="M83" s="334"/>
      <c r="N83" s="334"/>
      <c r="O83" s="345"/>
      <c r="P83" s="334"/>
      <c r="Q83" s="340"/>
      <c r="R83" s="349"/>
      <c r="S83" s="334"/>
      <c r="T83" s="334"/>
      <c r="U83" s="334"/>
      <c r="V83" s="334"/>
      <c r="W83" s="334"/>
      <c r="X83" s="334"/>
      <c r="Y83" s="334"/>
      <c r="Z83" s="334"/>
      <c r="AA83" s="334"/>
    </row>
    <row r="84" spans="1:27" ht="47.25" hidden="1">
      <c r="A84" s="334" t="s">
        <v>2950</v>
      </c>
      <c r="B84" s="335" t="s">
        <v>274</v>
      </c>
      <c r="C84" s="334" t="s">
        <v>3139</v>
      </c>
      <c r="D84" s="334" t="s">
        <v>307</v>
      </c>
      <c r="E84" s="348" t="s">
        <v>3145</v>
      </c>
      <c r="F84" s="334" t="s">
        <v>2993</v>
      </c>
      <c r="G84" s="334" t="s">
        <v>2957</v>
      </c>
      <c r="H84" s="334" t="s">
        <v>3146</v>
      </c>
      <c r="I84" s="334" t="s">
        <v>3080</v>
      </c>
      <c r="J84" s="334" t="s">
        <v>3000</v>
      </c>
      <c r="K84" s="334"/>
      <c r="L84" s="344"/>
      <c r="M84" s="334"/>
      <c r="N84" s="334"/>
      <c r="O84" s="345"/>
      <c r="P84" s="334"/>
      <c r="Q84" s="340"/>
      <c r="R84" s="349"/>
      <c r="S84" s="334"/>
      <c r="T84" s="334"/>
      <c r="U84" s="334"/>
      <c r="V84" s="334"/>
      <c r="W84" s="334"/>
      <c r="X84" s="334"/>
      <c r="Y84" s="334"/>
      <c r="Z84" s="334"/>
      <c r="AA84" s="334"/>
    </row>
    <row r="85" spans="1:27" ht="47.25" hidden="1">
      <c r="A85" s="368" t="s">
        <v>2950</v>
      </c>
      <c r="B85" s="369" t="s">
        <v>274</v>
      </c>
      <c r="C85" s="368" t="s">
        <v>3139</v>
      </c>
      <c r="D85" s="368" t="s">
        <v>310</v>
      </c>
      <c r="E85" s="370" t="s">
        <v>3147</v>
      </c>
      <c r="F85" s="334" t="s">
        <v>2956</v>
      </c>
      <c r="G85" s="368" t="s">
        <v>2957</v>
      </c>
      <c r="H85" s="368" t="s">
        <v>3148</v>
      </c>
      <c r="I85" s="371">
        <v>1</v>
      </c>
      <c r="J85" s="368" t="s">
        <v>3000</v>
      </c>
      <c r="K85" s="368"/>
      <c r="L85" s="372"/>
      <c r="M85" s="368"/>
      <c r="N85" s="368"/>
      <c r="O85" s="373"/>
      <c r="P85" s="368"/>
      <c r="Q85" s="340"/>
      <c r="R85" s="374"/>
      <c r="S85" s="368"/>
      <c r="T85" s="368"/>
      <c r="U85" s="368"/>
      <c r="V85" s="368"/>
      <c r="W85" s="368"/>
      <c r="X85" s="368"/>
      <c r="Y85" s="368"/>
      <c r="Z85" s="368"/>
      <c r="AA85" s="368"/>
    </row>
    <row r="86" spans="1:27" ht="47.25" hidden="1">
      <c r="A86" s="334" t="s">
        <v>2950</v>
      </c>
      <c r="B86" s="335" t="s">
        <v>274</v>
      </c>
      <c r="C86" s="334" t="s">
        <v>3139</v>
      </c>
      <c r="D86" s="334" t="s">
        <v>313</v>
      </c>
      <c r="E86" s="334" t="s">
        <v>3149</v>
      </c>
      <c r="F86" s="334" t="s">
        <v>2993</v>
      </c>
      <c r="G86" s="334" t="s">
        <v>2957</v>
      </c>
      <c r="H86" s="334" t="s">
        <v>3150</v>
      </c>
      <c r="I86" s="334" t="s">
        <v>2999</v>
      </c>
      <c r="J86" s="334" t="s">
        <v>3000</v>
      </c>
      <c r="K86" s="334"/>
      <c r="L86" s="344"/>
      <c r="M86" s="334"/>
      <c r="N86" s="334"/>
      <c r="O86" s="375"/>
      <c r="P86" s="334"/>
      <c r="Q86" s="327"/>
      <c r="R86" s="334"/>
      <c r="S86" s="349"/>
      <c r="T86" s="334"/>
      <c r="U86" s="334"/>
      <c r="V86" s="334"/>
      <c r="W86" s="334"/>
      <c r="X86" s="334"/>
      <c r="Y86" s="334"/>
      <c r="Z86" s="334"/>
      <c r="AA86" s="334"/>
    </row>
    <row r="87" spans="1:27" ht="66" hidden="1" customHeight="1">
      <c r="A87" s="376" t="s">
        <v>2950</v>
      </c>
      <c r="B87" s="377" t="s">
        <v>274</v>
      </c>
      <c r="C87" s="376" t="s">
        <v>3139</v>
      </c>
      <c r="D87" s="376" t="s">
        <v>316</v>
      </c>
      <c r="E87" s="376" t="s">
        <v>3151</v>
      </c>
      <c r="F87" s="334" t="s">
        <v>2964</v>
      </c>
      <c r="G87" s="376" t="s">
        <v>2957</v>
      </c>
      <c r="H87" s="376" t="s">
        <v>3060</v>
      </c>
      <c r="I87" s="378">
        <v>1</v>
      </c>
      <c r="J87" s="378" t="s">
        <v>3000</v>
      </c>
      <c r="K87" s="378"/>
      <c r="L87" s="379"/>
      <c r="M87" s="378"/>
      <c r="N87" s="378"/>
      <c r="O87" s="380"/>
      <c r="P87" s="376"/>
      <c r="Q87" s="346"/>
      <c r="R87" s="381"/>
      <c r="S87" s="378"/>
      <c r="T87" s="378"/>
      <c r="U87" s="378"/>
      <c r="V87" s="378"/>
      <c r="W87" s="378"/>
      <c r="X87" s="378"/>
      <c r="Y87" s="378"/>
      <c r="Z87" s="378"/>
      <c r="AA87" s="376"/>
    </row>
    <row r="88" spans="1:27" ht="78.75" hidden="1">
      <c r="A88" s="334" t="s">
        <v>2950</v>
      </c>
      <c r="B88" s="335" t="s">
        <v>274</v>
      </c>
      <c r="C88" s="334" t="s">
        <v>3152</v>
      </c>
      <c r="D88" s="334" t="s">
        <v>320</v>
      </c>
      <c r="E88" s="334" t="s">
        <v>3153</v>
      </c>
      <c r="F88" s="442"/>
      <c r="G88" s="442" t="s">
        <v>2957</v>
      </c>
      <c r="H88" s="442"/>
      <c r="I88" s="442"/>
      <c r="J88" s="442"/>
      <c r="K88" s="442"/>
      <c r="L88" s="444"/>
      <c r="M88" s="442"/>
      <c r="N88" s="442"/>
      <c r="O88" s="445"/>
      <c r="P88" s="442"/>
      <c r="Q88" s="340"/>
      <c r="R88" s="446"/>
      <c r="S88" s="442"/>
      <c r="T88" s="442"/>
      <c r="U88" s="442"/>
      <c r="V88" s="442"/>
      <c r="W88" s="442"/>
      <c r="X88" s="442"/>
      <c r="Y88" s="442"/>
      <c r="Z88" s="442"/>
      <c r="AA88" s="442"/>
    </row>
    <row r="89" spans="1:27" ht="78.75" hidden="1">
      <c r="A89" s="334" t="s">
        <v>2950</v>
      </c>
      <c r="B89" s="335" t="s">
        <v>274</v>
      </c>
      <c r="C89" s="334" t="s">
        <v>3152</v>
      </c>
      <c r="D89" s="334" t="s">
        <v>322</v>
      </c>
      <c r="E89" s="348" t="s">
        <v>3154</v>
      </c>
      <c r="F89" s="334" t="s">
        <v>3009</v>
      </c>
      <c r="G89" s="334" t="s">
        <v>2957</v>
      </c>
      <c r="H89" s="334" t="s">
        <v>3155</v>
      </c>
      <c r="I89" s="334" t="s">
        <v>3156</v>
      </c>
      <c r="J89" s="334" t="s">
        <v>2974</v>
      </c>
      <c r="K89" s="334"/>
      <c r="L89" s="344"/>
      <c r="M89" s="334"/>
      <c r="N89" s="334"/>
      <c r="O89" s="345"/>
      <c r="P89" s="334"/>
      <c r="Q89" s="340"/>
      <c r="R89" s="349"/>
      <c r="S89" s="334"/>
      <c r="T89" s="334"/>
      <c r="U89" s="334"/>
      <c r="V89" s="334"/>
      <c r="W89" s="334"/>
      <c r="X89" s="334"/>
      <c r="Y89" s="334"/>
      <c r="Z89" s="334"/>
      <c r="AA89" s="334"/>
    </row>
    <row r="90" spans="1:27" ht="78.75" hidden="1">
      <c r="A90" s="334" t="s">
        <v>2950</v>
      </c>
      <c r="B90" s="335" t="s">
        <v>274</v>
      </c>
      <c r="C90" s="334" t="s">
        <v>3152</v>
      </c>
      <c r="D90" s="334" t="s">
        <v>326</v>
      </c>
      <c r="E90" s="348" t="s">
        <v>3157</v>
      </c>
      <c r="F90" s="334" t="s">
        <v>2956</v>
      </c>
      <c r="G90" s="334" t="s">
        <v>2957</v>
      </c>
      <c r="H90" s="334" t="s">
        <v>3158</v>
      </c>
      <c r="I90" s="343">
        <v>1</v>
      </c>
      <c r="J90" s="334" t="s">
        <v>2958</v>
      </c>
      <c r="K90" s="334"/>
      <c r="L90" s="344"/>
      <c r="M90" s="334"/>
      <c r="N90" s="334"/>
      <c r="O90" s="345"/>
      <c r="P90" s="334" t="s">
        <v>2983</v>
      </c>
      <c r="Q90" s="340"/>
      <c r="R90" s="349"/>
      <c r="S90" s="334"/>
      <c r="T90" s="334"/>
      <c r="U90" s="334"/>
      <c r="V90" s="334"/>
      <c r="W90" s="334"/>
      <c r="X90" s="334"/>
      <c r="Y90" s="334"/>
      <c r="Z90" s="334"/>
      <c r="AA90" s="334"/>
    </row>
    <row r="91" spans="1:27" ht="78.75" hidden="1">
      <c r="A91" s="334" t="s">
        <v>2950</v>
      </c>
      <c r="B91" s="335" t="s">
        <v>274</v>
      </c>
      <c r="C91" s="334" t="s">
        <v>3152</v>
      </c>
      <c r="D91" s="334" t="s">
        <v>329</v>
      </c>
      <c r="E91" s="409" t="s">
        <v>3159</v>
      </c>
      <c r="F91" s="334" t="s">
        <v>2964</v>
      </c>
      <c r="G91" s="334" t="s">
        <v>2957</v>
      </c>
      <c r="H91" s="334" t="s">
        <v>3060</v>
      </c>
      <c r="I91" s="343">
        <v>1</v>
      </c>
      <c r="J91" s="343" t="s">
        <v>2974</v>
      </c>
      <c r="K91" s="343"/>
      <c r="L91" s="344"/>
      <c r="M91" s="343"/>
      <c r="N91" s="343"/>
      <c r="O91" s="345"/>
      <c r="P91" s="334"/>
      <c r="Q91" s="346"/>
      <c r="R91" s="347"/>
      <c r="S91" s="343"/>
      <c r="T91" s="343"/>
      <c r="U91" s="343"/>
      <c r="V91" s="343"/>
      <c r="W91" s="343"/>
      <c r="X91" s="343"/>
      <c r="Y91" s="343"/>
      <c r="Z91" s="343"/>
      <c r="AA91" s="334"/>
    </row>
    <row r="92" spans="1:27" ht="81.75" hidden="1" customHeight="1">
      <c r="A92" s="334" t="s">
        <v>2950</v>
      </c>
      <c r="B92" s="335" t="s">
        <v>274</v>
      </c>
      <c r="C92" s="334" t="s">
        <v>3152</v>
      </c>
      <c r="D92" s="334" t="s">
        <v>331</v>
      </c>
      <c r="E92" s="334" t="s">
        <v>3160</v>
      </c>
      <c r="F92" s="334" t="s">
        <v>2964</v>
      </c>
      <c r="G92" s="334" t="s">
        <v>2957</v>
      </c>
      <c r="H92" s="334" t="s">
        <v>3060</v>
      </c>
      <c r="I92" s="343">
        <v>1</v>
      </c>
      <c r="J92" s="343" t="s">
        <v>2974</v>
      </c>
      <c r="K92" s="343"/>
      <c r="L92" s="344"/>
      <c r="M92" s="343"/>
      <c r="N92" s="343"/>
      <c r="O92" s="345"/>
      <c r="P92" s="334"/>
      <c r="Q92" s="346"/>
      <c r="R92" s="347"/>
      <c r="S92" s="343"/>
      <c r="T92" s="343"/>
      <c r="U92" s="343"/>
      <c r="V92" s="343"/>
      <c r="W92" s="343"/>
      <c r="X92" s="343"/>
      <c r="Y92" s="343"/>
      <c r="Z92" s="343"/>
      <c r="AA92" s="334"/>
    </row>
    <row r="93" spans="1:27" ht="98.1" hidden="1" customHeight="1">
      <c r="A93" s="334" t="s">
        <v>2950</v>
      </c>
      <c r="B93" s="335" t="s">
        <v>274</v>
      </c>
      <c r="C93" s="334" t="s">
        <v>3152</v>
      </c>
      <c r="D93" s="334" t="s">
        <v>333</v>
      </c>
      <c r="E93" s="334" t="s">
        <v>3161</v>
      </c>
      <c r="F93" s="334" t="s">
        <v>2966</v>
      </c>
      <c r="G93" s="334" t="s">
        <v>2957</v>
      </c>
      <c r="H93" s="334" t="s">
        <v>3162</v>
      </c>
      <c r="I93" s="343">
        <v>1</v>
      </c>
      <c r="J93" s="343" t="s">
        <v>2974</v>
      </c>
      <c r="K93" s="343"/>
      <c r="L93" s="344"/>
      <c r="M93" s="343"/>
      <c r="N93" s="343"/>
      <c r="O93" s="345"/>
      <c r="P93" s="334"/>
      <c r="Q93" s="346"/>
      <c r="R93" s="347"/>
      <c r="S93" s="343"/>
      <c r="T93" s="343"/>
      <c r="U93" s="343"/>
      <c r="V93" s="343"/>
      <c r="W93" s="343"/>
      <c r="X93" s="343"/>
      <c r="Y93" s="343"/>
      <c r="Z93" s="343"/>
      <c r="AA93" s="334"/>
    </row>
    <row r="94" spans="1:27" ht="48.95" hidden="1" customHeight="1">
      <c r="A94" s="334" t="s">
        <v>2950</v>
      </c>
      <c r="B94" s="335" t="s">
        <v>3164</v>
      </c>
      <c r="C94" s="334" t="s">
        <v>3165</v>
      </c>
      <c r="D94" s="334" t="s">
        <v>338</v>
      </c>
      <c r="E94" s="334" t="s">
        <v>3163</v>
      </c>
      <c r="F94" s="442"/>
      <c r="G94" s="442"/>
      <c r="H94" s="442"/>
      <c r="I94" s="442"/>
      <c r="J94" s="442"/>
      <c r="K94" s="442"/>
      <c r="L94" s="444"/>
      <c r="M94" s="442"/>
      <c r="N94" s="442"/>
      <c r="O94" s="445"/>
      <c r="P94" s="442"/>
      <c r="Q94" s="340"/>
      <c r="R94" s="446"/>
      <c r="S94" s="442"/>
      <c r="T94" s="442"/>
      <c r="U94" s="442"/>
      <c r="V94" s="442"/>
      <c r="W94" s="442"/>
      <c r="X94" s="442"/>
      <c r="Y94" s="442"/>
      <c r="Z94" s="442"/>
      <c r="AA94" s="442"/>
    </row>
    <row r="95" spans="1:27" ht="81.75" hidden="1" customHeight="1">
      <c r="A95" s="334" t="s">
        <v>2950</v>
      </c>
      <c r="B95" s="335" t="s">
        <v>3166</v>
      </c>
      <c r="C95" s="334" t="s">
        <v>3165</v>
      </c>
      <c r="D95" s="334" t="s">
        <v>340</v>
      </c>
      <c r="E95" s="348" t="s">
        <v>3167</v>
      </c>
      <c r="F95" s="334" t="s">
        <v>2964</v>
      </c>
      <c r="G95" s="334" t="s">
        <v>2957</v>
      </c>
      <c r="H95" s="334" t="s">
        <v>3168</v>
      </c>
      <c r="I95" s="334" t="s">
        <v>3169</v>
      </c>
      <c r="J95" s="334" t="s">
        <v>3000</v>
      </c>
      <c r="K95" s="334"/>
      <c r="L95" s="344"/>
      <c r="M95" s="334"/>
      <c r="N95" s="334"/>
      <c r="O95" s="345"/>
      <c r="P95" s="334"/>
      <c r="Q95" s="340"/>
      <c r="R95" s="349"/>
      <c r="S95" s="334"/>
      <c r="T95" s="334"/>
      <c r="U95" s="334"/>
      <c r="V95" s="334"/>
      <c r="W95" s="334"/>
      <c r="X95" s="334"/>
      <c r="Y95" s="334"/>
      <c r="Z95" s="334"/>
      <c r="AA95" s="334"/>
    </row>
    <row r="96" spans="1:27" ht="83.25" hidden="1" customHeight="1">
      <c r="A96" s="334" t="s">
        <v>2950</v>
      </c>
      <c r="B96" s="335" t="s">
        <v>3166</v>
      </c>
      <c r="C96" s="334" t="s">
        <v>3165</v>
      </c>
      <c r="D96" s="334" t="s">
        <v>344</v>
      </c>
      <c r="E96" s="348" t="s">
        <v>3170</v>
      </c>
      <c r="F96" s="334" t="s">
        <v>2964</v>
      </c>
      <c r="G96" s="334" t="s">
        <v>2957</v>
      </c>
      <c r="H96" s="334" t="s">
        <v>3171</v>
      </c>
      <c r="I96" s="334" t="s">
        <v>3169</v>
      </c>
      <c r="J96" s="334" t="s">
        <v>3000</v>
      </c>
      <c r="K96" s="334"/>
      <c r="L96" s="344"/>
      <c r="M96" s="334"/>
      <c r="N96" s="334"/>
      <c r="O96" s="345"/>
      <c r="P96" s="334"/>
      <c r="Q96" s="340"/>
      <c r="R96" s="349"/>
      <c r="S96" s="334"/>
      <c r="T96" s="334"/>
      <c r="U96" s="334"/>
      <c r="V96" s="334"/>
      <c r="W96" s="334"/>
      <c r="X96" s="334"/>
      <c r="Y96" s="334"/>
      <c r="Z96" s="334"/>
      <c r="AA96" s="334"/>
    </row>
    <row r="97" spans="1:27" ht="63" hidden="1">
      <c r="A97" s="334" t="s">
        <v>2950</v>
      </c>
      <c r="B97" s="335" t="s">
        <v>3166</v>
      </c>
      <c r="C97" s="334" t="s">
        <v>3165</v>
      </c>
      <c r="D97" s="334" t="s">
        <v>347</v>
      </c>
      <c r="E97" s="334" t="s">
        <v>3172</v>
      </c>
      <c r="F97" s="334" t="s">
        <v>2993</v>
      </c>
      <c r="G97" s="334" t="s">
        <v>2957</v>
      </c>
      <c r="H97" s="334" t="s">
        <v>349</v>
      </c>
      <c r="I97" s="334" t="s">
        <v>2999</v>
      </c>
      <c r="J97" s="334" t="s">
        <v>3000</v>
      </c>
      <c r="K97" s="334"/>
      <c r="L97" s="344"/>
      <c r="M97" s="334"/>
      <c r="N97" s="334"/>
      <c r="O97" s="345"/>
      <c r="P97" s="334"/>
      <c r="Q97" s="340"/>
      <c r="R97" s="349"/>
      <c r="S97" s="334"/>
      <c r="T97" s="334"/>
      <c r="U97" s="334"/>
      <c r="V97" s="334"/>
      <c r="W97" s="334"/>
      <c r="X97" s="334"/>
      <c r="Y97" s="334"/>
      <c r="Z97" s="334"/>
      <c r="AA97" s="334"/>
    </row>
    <row r="98" spans="1:27" ht="30" hidden="1" customHeight="1">
      <c r="A98" s="334" t="s">
        <v>2950</v>
      </c>
      <c r="B98" s="335" t="s">
        <v>3166</v>
      </c>
      <c r="C98" s="334" t="s">
        <v>3165</v>
      </c>
      <c r="D98" s="334" t="s">
        <v>350</v>
      </c>
      <c r="E98" s="334" t="s">
        <v>3173</v>
      </c>
      <c r="F98" s="442"/>
      <c r="G98" s="442" t="s">
        <v>2954</v>
      </c>
      <c r="H98" s="442"/>
      <c r="I98" s="443"/>
      <c r="J98" s="442"/>
      <c r="K98" s="442"/>
      <c r="L98" s="444"/>
      <c r="M98" s="442"/>
      <c r="N98" s="442"/>
      <c r="O98" s="445"/>
      <c r="P98" s="442"/>
      <c r="Q98" s="340"/>
      <c r="R98" s="446"/>
      <c r="S98" s="442"/>
      <c r="T98" s="442"/>
      <c r="U98" s="442"/>
      <c r="V98" s="442"/>
      <c r="W98" s="442"/>
      <c r="X98" s="442"/>
      <c r="Y98" s="442"/>
      <c r="Z98" s="442"/>
      <c r="AA98" s="442"/>
    </row>
    <row r="99" spans="1:27" ht="47.45" hidden="1" customHeight="1">
      <c r="A99" s="334" t="s">
        <v>2950</v>
      </c>
      <c r="B99" s="335" t="s">
        <v>3166</v>
      </c>
      <c r="C99" s="334" t="s">
        <v>3165</v>
      </c>
      <c r="D99" s="334" t="s">
        <v>353</v>
      </c>
      <c r="E99" s="348" t="s">
        <v>3174</v>
      </c>
      <c r="F99" s="334" t="s">
        <v>2966</v>
      </c>
      <c r="G99" s="334" t="s">
        <v>2954</v>
      </c>
      <c r="H99" s="334" t="s">
        <v>3175</v>
      </c>
      <c r="I99" s="343">
        <v>1</v>
      </c>
      <c r="J99" s="343" t="s">
        <v>2958</v>
      </c>
      <c r="K99" s="343"/>
      <c r="L99" s="344"/>
      <c r="M99" s="343"/>
      <c r="N99" s="343"/>
      <c r="O99" s="345"/>
      <c r="P99" s="334"/>
      <c r="Q99" s="346"/>
      <c r="R99" s="347"/>
      <c r="S99" s="343"/>
      <c r="T99" s="343"/>
      <c r="U99" s="343"/>
      <c r="V99" s="343"/>
      <c r="W99" s="343"/>
      <c r="X99" s="343"/>
      <c r="Y99" s="343"/>
      <c r="Z99" s="343"/>
      <c r="AA99" s="334"/>
    </row>
    <row r="100" spans="1:27" ht="47.25" hidden="1">
      <c r="A100" s="334" t="s">
        <v>2950</v>
      </c>
      <c r="B100" s="335" t="s">
        <v>3166</v>
      </c>
      <c r="C100" s="334" t="s">
        <v>3165</v>
      </c>
      <c r="D100" s="334" t="s">
        <v>355</v>
      </c>
      <c r="E100" s="348" t="s">
        <v>3176</v>
      </c>
      <c r="F100" s="334" t="s">
        <v>2966</v>
      </c>
      <c r="G100" s="334" t="s">
        <v>2954</v>
      </c>
      <c r="H100" s="334" t="s">
        <v>3175</v>
      </c>
      <c r="I100" s="343">
        <v>1</v>
      </c>
      <c r="J100" s="343" t="s">
        <v>2958</v>
      </c>
      <c r="K100" s="343"/>
      <c r="L100" s="344"/>
      <c r="M100" s="343"/>
      <c r="N100" s="343"/>
      <c r="O100" s="345"/>
      <c r="P100" s="334"/>
      <c r="Q100" s="346"/>
      <c r="R100" s="347"/>
      <c r="S100" s="343"/>
      <c r="T100" s="343"/>
      <c r="U100" s="343"/>
      <c r="V100" s="343"/>
      <c r="W100" s="343"/>
      <c r="X100" s="343"/>
      <c r="Y100" s="343"/>
      <c r="Z100" s="343"/>
      <c r="AA100" s="334"/>
    </row>
    <row r="101" spans="1:27" ht="47.25" hidden="1">
      <c r="A101" s="334" t="s">
        <v>2950</v>
      </c>
      <c r="B101" s="335" t="s">
        <v>3166</v>
      </c>
      <c r="C101" s="334" t="s">
        <v>3165</v>
      </c>
      <c r="D101" s="334" t="s">
        <v>357</v>
      </c>
      <c r="E101" s="348" t="s">
        <v>3177</v>
      </c>
      <c r="F101" s="334" t="s">
        <v>2966</v>
      </c>
      <c r="G101" s="334" t="s">
        <v>2954</v>
      </c>
      <c r="H101" s="334" t="s">
        <v>3175</v>
      </c>
      <c r="I101" s="343">
        <v>1</v>
      </c>
      <c r="J101" s="343" t="s">
        <v>2958</v>
      </c>
      <c r="K101" s="343"/>
      <c r="L101" s="344"/>
      <c r="M101" s="343"/>
      <c r="N101" s="343"/>
      <c r="O101" s="345"/>
      <c r="P101" s="334"/>
      <c r="Q101" s="346"/>
      <c r="R101" s="347"/>
      <c r="S101" s="343"/>
      <c r="T101" s="343"/>
      <c r="U101" s="343"/>
      <c r="V101" s="343"/>
      <c r="W101" s="343"/>
      <c r="X101" s="343"/>
      <c r="Y101" s="343"/>
      <c r="Z101" s="343"/>
      <c r="AA101" s="334"/>
    </row>
    <row r="102" spans="1:27" ht="47.25" hidden="1">
      <c r="A102" s="334" t="s">
        <v>2950</v>
      </c>
      <c r="B102" s="335" t="s">
        <v>3166</v>
      </c>
      <c r="C102" s="334" t="s">
        <v>3165</v>
      </c>
      <c r="D102" s="334" t="s">
        <v>359</v>
      </c>
      <c r="E102" s="348" t="s">
        <v>3178</v>
      </c>
      <c r="F102" s="334" t="s">
        <v>2966</v>
      </c>
      <c r="G102" s="334" t="s">
        <v>2954</v>
      </c>
      <c r="H102" s="334" t="s">
        <v>3175</v>
      </c>
      <c r="I102" s="343">
        <v>1</v>
      </c>
      <c r="J102" s="343" t="s">
        <v>2958</v>
      </c>
      <c r="K102" s="343"/>
      <c r="L102" s="344"/>
      <c r="M102" s="343"/>
      <c r="N102" s="343"/>
      <c r="O102" s="345"/>
      <c r="P102" s="334"/>
      <c r="Q102" s="346"/>
      <c r="R102" s="347"/>
      <c r="S102" s="343"/>
      <c r="T102" s="343"/>
      <c r="U102" s="343"/>
      <c r="V102" s="343"/>
      <c r="W102" s="343"/>
      <c r="X102" s="343"/>
      <c r="Y102" s="343"/>
      <c r="Z102" s="343"/>
      <c r="AA102" s="334"/>
    </row>
    <row r="103" spans="1:27" ht="45" hidden="1">
      <c r="A103" s="334" t="s">
        <v>2950</v>
      </c>
      <c r="B103" s="335" t="s">
        <v>3166</v>
      </c>
      <c r="C103" s="334" t="s">
        <v>3165</v>
      </c>
      <c r="D103" s="334" t="s">
        <v>361</v>
      </c>
      <c r="E103" s="348" t="s">
        <v>3179</v>
      </c>
      <c r="F103" s="334" t="s">
        <v>2966</v>
      </c>
      <c r="G103" s="334" t="s">
        <v>2954</v>
      </c>
      <c r="H103" s="334" t="s">
        <v>3175</v>
      </c>
      <c r="I103" s="343">
        <v>1</v>
      </c>
      <c r="J103" s="343" t="s">
        <v>2958</v>
      </c>
      <c r="K103" s="343"/>
      <c r="L103" s="344"/>
      <c r="M103" s="343"/>
      <c r="N103" s="343"/>
      <c r="O103" s="345"/>
      <c r="P103" s="334"/>
      <c r="Q103" s="346"/>
      <c r="R103" s="347"/>
      <c r="S103" s="343"/>
      <c r="T103" s="343"/>
      <c r="U103" s="343"/>
      <c r="V103" s="343"/>
      <c r="W103" s="343"/>
      <c r="X103" s="343"/>
      <c r="Y103" s="343"/>
      <c r="Z103" s="343"/>
      <c r="AA103" s="334"/>
    </row>
    <row r="104" spans="1:27" ht="47.25" hidden="1">
      <c r="A104" s="334" t="s">
        <v>2950</v>
      </c>
      <c r="B104" s="335" t="s">
        <v>3166</v>
      </c>
      <c r="C104" s="334" t="s">
        <v>3165</v>
      </c>
      <c r="D104" s="334" t="s">
        <v>363</v>
      </c>
      <c r="E104" s="348" t="s">
        <v>3180</v>
      </c>
      <c r="F104" s="334" t="s">
        <v>2966</v>
      </c>
      <c r="G104" s="334" t="s">
        <v>2954</v>
      </c>
      <c r="H104" s="334" t="s">
        <v>3175</v>
      </c>
      <c r="I104" s="343">
        <v>1</v>
      </c>
      <c r="J104" s="343" t="s">
        <v>2974</v>
      </c>
      <c r="K104" s="343"/>
      <c r="L104" s="344"/>
      <c r="M104" s="343"/>
      <c r="N104" s="343"/>
      <c r="O104" s="345"/>
      <c r="P104" s="334"/>
      <c r="Q104" s="346"/>
      <c r="R104" s="347"/>
      <c r="S104" s="343"/>
      <c r="T104" s="343"/>
      <c r="U104" s="343"/>
      <c r="V104" s="343"/>
      <c r="W104" s="343"/>
      <c r="X104" s="343"/>
      <c r="Y104" s="343"/>
      <c r="Z104" s="343"/>
      <c r="AA104" s="334"/>
    </row>
    <row r="105" spans="1:27" ht="47.25" hidden="1">
      <c r="A105" s="334" t="s">
        <v>2950</v>
      </c>
      <c r="B105" s="335" t="s">
        <v>3166</v>
      </c>
      <c r="C105" s="334" t="s">
        <v>3165</v>
      </c>
      <c r="D105" s="334" t="s">
        <v>365</v>
      </c>
      <c r="E105" s="348" t="s">
        <v>3181</v>
      </c>
      <c r="F105" s="334" t="s">
        <v>2961</v>
      </c>
      <c r="G105" s="334" t="s">
        <v>2954</v>
      </c>
      <c r="H105" s="334" t="s">
        <v>3175</v>
      </c>
      <c r="I105" s="343">
        <v>1</v>
      </c>
      <c r="J105" s="343" t="s">
        <v>2974</v>
      </c>
      <c r="K105" s="343"/>
      <c r="L105" s="344"/>
      <c r="M105" s="343"/>
      <c r="N105" s="343"/>
      <c r="O105" s="345"/>
      <c r="P105" s="334"/>
      <c r="Q105" s="346"/>
      <c r="R105" s="347"/>
      <c r="S105" s="343"/>
      <c r="T105" s="343"/>
      <c r="U105" s="343"/>
      <c r="V105" s="343"/>
      <c r="W105" s="343"/>
      <c r="X105" s="343"/>
      <c r="Y105" s="343"/>
      <c r="Z105" s="343"/>
      <c r="AA105" s="334"/>
    </row>
    <row r="106" spans="1:27" ht="47.25" hidden="1">
      <c r="A106" s="334" t="s">
        <v>2950</v>
      </c>
      <c r="B106" s="335" t="s">
        <v>3182</v>
      </c>
      <c r="C106" s="334" t="s">
        <v>3165</v>
      </c>
      <c r="D106" s="334" t="s">
        <v>367</v>
      </c>
      <c r="E106" s="348" t="s">
        <v>3183</v>
      </c>
      <c r="F106" s="334" t="s">
        <v>2961</v>
      </c>
      <c r="G106" s="334" t="s">
        <v>2954</v>
      </c>
      <c r="H106" s="334" t="s">
        <v>3175</v>
      </c>
      <c r="I106" s="343">
        <v>1</v>
      </c>
      <c r="J106" s="343" t="s">
        <v>2974</v>
      </c>
      <c r="K106" s="343"/>
      <c r="L106" s="344"/>
      <c r="M106" s="343"/>
      <c r="N106" s="343"/>
      <c r="O106" s="345"/>
      <c r="P106" s="334"/>
      <c r="Q106" s="346"/>
      <c r="R106" s="347"/>
      <c r="S106" s="343"/>
      <c r="T106" s="343"/>
      <c r="U106" s="343"/>
      <c r="V106" s="343"/>
      <c r="W106" s="343"/>
      <c r="X106" s="343"/>
      <c r="Y106" s="343"/>
      <c r="Z106" s="343"/>
      <c r="AA106" s="334"/>
    </row>
    <row r="107" spans="1:27" ht="47.25" hidden="1">
      <c r="A107" s="334" t="s">
        <v>2950</v>
      </c>
      <c r="B107" s="335" t="s">
        <v>3182</v>
      </c>
      <c r="C107" s="334" t="s">
        <v>3165</v>
      </c>
      <c r="D107" s="334" t="s">
        <v>369</v>
      </c>
      <c r="E107" s="348" t="s">
        <v>3184</v>
      </c>
      <c r="F107" s="334" t="s">
        <v>2961</v>
      </c>
      <c r="G107" s="334" t="s">
        <v>2954</v>
      </c>
      <c r="H107" s="334" t="s">
        <v>3175</v>
      </c>
      <c r="I107" s="343">
        <v>1</v>
      </c>
      <c r="J107" s="343" t="s">
        <v>2974</v>
      </c>
      <c r="K107" s="343"/>
      <c r="L107" s="344"/>
      <c r="M107" s="343"/>
      <c r="N107" s="343"/>
      <c r="O107" s="345"/>
      <c r="P107" s="334"/>
      <c r="Q107" s="346"/>
      <c r="R107" s="347"/>
      <c r="S107" s="343"/>
      <c r="T107" s="343"/>
      <c r="U107" s="343"/>
      <c r="V107" s="343"/>
      <c r="W107" s="343"/>
      <c r="X107" s="343"/>
      <c r="Y107" s="343"/>
      <c r="Z107" s="343"/>
      <c r="AA107" s="334"/>
    </row>
    <row r="108" spans="1:27" ht="47.25" hidden="1">
      <c r="A108" s="334" t="s">
        <v>2950</v>
      </c>
      <c r="B108" s="335" t="s">
        <v>3182</v>
      </c>
      <c r="C108" s="334" t="s">
        <v>3165</v>
      </c>
      <c r="D108" s="334" t="s">
        <v>371</v>
      </c>
      <c r="E108" s="348" t="s">
        <v>3185</v>
      </c>
      <c r="F108" s="334" t="s">
        <v>2961</v>
      </c>
      <c r="G108" s="334" t="s">
        <v>2954</v>
      </c>
      <c r="H108" s="334" t="s">
        <v>3175</v>
      </c>
      <c r="I108" s="343">
        <v>1</v>
      </c>
      <c r="J108" s="343" t="s">
        <v>2974</v>
      </c>
      <c r="K108" s="343"/>
      <c r="L108" s="344"/>
      <c r="M108" s="343"/>
      <c r="N108" s="343"/>
      <c r="O108" s="345"/>
      <c r="P108" s="334"/>
      <c r="Q108" s="346"/>
      <c r="R108" s="347"/>
      <c r="S108" s="343"/>
      <c r="T108" s="343"/>
      <c r="U108" s="343"/>
      <c r="V108" s="343"/>
      <c r="W108" s="343"/>
      <c r="X108" s="343"/>
      <c r="Y108" s="343"/>
      <c r="Z108" s="343"/>
      <c r="AA108" s="334"/>
    </row>
    <row r="109" spans="1:27" ht="63" hidden="1">
      <c r="A109" s="334" t="s">
        <v>2950</v>
      </c>
      <c r="B109" s="335" t="s">
        <v>3182</v>
      </c>
      <c r="C109" s="334" t="s">
        <v>3165</v>
      </c>
      <c r="D109" s="334" t="s">
        <v>373</v>
      </c>
      <c r="E109" s="348" t="s">
        <v>3186</v>
      </c>
      <c r="F109" s="334" t="s">
        <v>2964</v>
      </c>
      <c r="G109" s="334" t="s">
        <v>2954</v>
      </c>
      <c r="H109" s="334" t="s">
        <v>3175</v>
      </c>
      <c r="I109" s="343">
        <v>1</v>
      </c>
      <c r="J109" s="343" t="s">
        <v>2958</v>
      </c>
      <c r="K109" s="343"/>
      <c r="L109" s="344"/>
      <c r="M109" s="343"/>
      <c r="N109" s="343"/>
      <c r="O109" s="345"/>
      <c r="P109" s="334"/>
      <c r="Q109" s="346"/>
      <c r="R109" s="347"/>
      <c r="S109" s="343"/>
      <c r="T109" s="343"/>
      <c r="U109" s="343"/>
      <c r="V109" s="343"/>
      <c r="W109" s="343"/>
      <c r="X109" s="343"/>
      <c r="Y109" s="343"/>
      <c r="Z109" s="343"/>
      <c r="AA109" s="334"/>
    </row>
    <row r="110" spans="1:27" ht="47.25" hidden="1">
      <c r="A110" s="334" t="s">
        <v>2950</v>
      </c>
      <c r="B110" s="335" t="s">
        <v>3182</v>
      </c>
      <c r="C110" s="334" t="s">
        <v>3165</v>
      </c>
      <c r="D110" s="334" t="s">
        <v>375</v>
      </c>
      <c r="E110" s="348" t="s">
        <v>3187</v>
      </c>
      <c r="F110" s="334" t="s">
        <v>2961</v>
      </c>
      <c r="G110" s="334" t="s">
        <v>2954</v>
      </c>
      <c r="H110" s="334" t="s">
        <v>3175</v>
      </c>
      <c r="I110" s="343">
        <v>1</v>
      </c>
      <c r="J110" s="343" t="s">
        <v>2958</v>
      </c>
      <c r="K110" s="343"/>
      <c r="L110" s="344"/>
      <c r="M110" s="343"/>
      <c r="N110" s="343"/>
      <c r="O110" s="345"/>
      <c r="P110" s="334"/>
      <c r="Q110" s="346"/>
      <c r="R110" s="347"/>
      <c r="S110" s="343"/>
      <c r="T110" s="343"/>
      <c r="U110" s="343"/>
      <c r="V110" s="343"/>
      <c r="W110" s="343"/>
      <c r="X110" s="343"/>
      <c r="Y110" s="343"/>
      <c r="Z110" s="343"/>
      <c r="AA110" s="334"/>
    </row>
    <row r="111" spans="1:27" ht="47.25" hidden="1">
      <c r="A111" s="334" t="s">
        <v>2950</v>
      </c>
      <c r="B111" s="335" t="s">
        <v>3182</v>
      </c>
      <c r="C111" s="334" t="s">
        <v>3165</v>
      </c>
      <c r="D111" s="334" t="s">
        <v>377</v>
      </c>
      <c r="E111" s="348" t="s">
        <v>3188</v>
      </c>
      <c r="F111" s="334" t="s">
        <v>2961</v>
      </c>
      <c r="G111" s="334" t="s">
        <v>2954</v>
      </c>
      <c r="H111" s="334" t="s">
        <v>3175</v>
      </c>
      <c r="I111" s="343">
        <v>1</v>
      </c>
      <c r="J111" s="343" t="s">
        <v>2958</v>
      </c>
      <c r="K111" s="343"/>
      <c r="L111" s="344"/>
      <c r="M111" s="343"/>
      <c r="N111" s="343"/>
      <c r="O111" s="345"/>
      <c r="P111" s="334"/>
      <c r="Q111" s="346"/>
      <c r="R111" s="347"/>
      <c r="S111" s="343"/>
      <c r="T111" s="343"/>
      <c r="U111" s="343"/>
      <c r="V111" s="343"/>
      <c r="W111" s="343"/>
      <c r="X111" s="343"/>
      <c r="Y111" s="343"/>
      <c r="Z111" s="343"/>
      <c r="AA111" s="334"/>
    </row>
    <row r="112" spans="1:27" ht="47.25" hidden="1">
      <c r="A112" s="334" t="s">
        <v>2950</v>
      </c>
      <c r="B112" s="335" t="s">
        <v>3182</v>
      </c>
      <c r="C112" s="334" t="s">
        <v>3165</v>
      </c>
      <c r="D112" s="334" t="s">
        <v>379</v>
      </c>
      <c r="E112" s="348" t="s">
        <v>3189</v>
      </c>
      <c r="F112" s="334" t="s">
        <v>2961</v>
      </c>
      <c r="G112" s="334" t="s">
        <v>2954</v>
      </c>
      <c r="H112" s="334" t="s">
        <v>3175</v>
      </c>
      <c r="I112" s="343">
        <v>1</v>
      </c>
      <c r="J112" s="343" t="s">
        <v>2958</v>
      </c>
      <c r="K112" s="343"/>
      <c r="L112" s="344"/>
      <c r="M112" s="343"/>
      <c r="N112" s="343"/>
      <c r="O112" s="345"/>
      <c r="P112" s="334"/>
      <c r="Q112" s="346"/>
      <c r="R112" s="347"/>
      <c r="S112" s="343"/>
      <c r="T112" s="343"/>
      <c r="U112" s="343"/>
      <c r="V112" s="343"/>
      <c r="W112" s="343"/>
      <c r="X112" s="343"/>
      <c r="Y112" s="343"/>
      <c r="Z112" s="343"/>
      <c r="AA112" s="334"/>
    </row>
    <row r="113" spans="1:27" ht="47.25" hidden="1">
      <c r="A113" s="334" t="s">
        <v>2950</v>
      </c>
      <c r="B113" s="335" t="s">
        <v>3182</v>
      </c>
      <c r="C113" s="334" t="s">
        <v>3165</v>
      </c>
      <c r="D113" s="334" t="s">
        <v>381</v>
      </c>
      <c r="E113" s="348" t="s">
        <v>3190</v>
      </c>
      <c r="F113" s="334" t="s">
        <v>2961</v>
      </c>
      <c r="G113" s="334" t="s">
        <v>2954</v>
      </c>
      <c r="H113" s="334" t="s">
        <v>3175</v>
      </c>
      <c r="I113" s="343">
        <v>1</v>
      </c>
      <c r="J113" s="343" t="s">
        <v>2958</v>
      </c>
      <c r="K113" s="343"/>
      <c r="L113" s="344"/>
      <c r="M113" s="343"/>
      <c r="N113" s="343"/>
      <c r="O113" s="345"/>
      <c r="P113" s="334"/>
      <c r="Q113" s="346"/>
      <c r="R113" s="347"/>
      <c r="S113" s="343"/>
      <c r="T113" s="343"/>
      <c r="U113" s="343"/>
      <c r="V113" s="343"/>
      <c r="W113" s="343"/>
      <c r="X113" s="343"/>
      <c r="Y113" s="343"/>
      <c r="Z113" s="343"/>
      <c r="AA113" s="334"/>
    </row>
    <row r="114" spans="1:27" ht="47.25" hidden="1">
      <c r="A114" s="334" t="s">
        <v>2950</v>
      </c>
      <c r="B114" s="335" t="s">
        <v>3182</v>
      </c>
      <c r="C114" s="334" t="s">
        <v>3165</v>
      </c>
      <c r="D114" s="334" t="s">
        <v>383</v>
      </c>
      <c r="E114" s="348" t="s">
        <v>3191</v>
      </c>
      <c r="F114" s="334" t="s">
        <v>2961</v>
      </c>
      <c r="G114" s="334" t="s">
        <v>2954</v>
      </c>
      <c r="H114" s="334" t="s">
        <v>3175</v>
      </c>
      <c r="I114" s="343">
        <v>1</v>
      </c>
      <c r="J114" s="343" t="s">
        <v>2958</v>
      </c>
      <c r="K114" s="343"/>
      <c r="L114" s="344"/>
      <c r="M114" s="343"/>
      <c r="N114" s="343"/>
      <c r="O114" s="345"/>
      <c r="P114" s="334"/>
      <c r="Q114" s="346"/>
      <c r="R114" s="347"/>
      <c r="S114" s="343"/>
      <c r="T114" s="343"/>
      <c r="U114" s="343"/>
      <c r="V114" s="343"/>
      <c r="W114" s="343"/>
      <c r="X114" s="343"/>
      <c r="Y114" s="343"/>
      <c r="Z114" s="343"/>
      <c r="AA114" s="334"/>
    </row>
    <row r="115" spans="1:27" ht="47.25" hidden="1">
      <c r="A115" s="334" t="s">
        <v>2950</v>
      </c>
      <c r="B115" s="335" t="s">
        <v>3182</v>
      </c>
      <c r="C115" s="334" t="s">
        <v>3165</v>
      </c>
      <c r="D115" s="334" t="s">
        <v>385</v>
      </c>
      <c r="E115" s="348" t="s">
        <v>3192</v>
      </c>
      <c r="F115" s="334" t="s">
        <v>2961</v>
      </c>
      <c r="G115" s="334" t="s">
        <v>2954</v>
      </c>
      <c r="H115" s="334" t="s">
        <v>3175</v>
      </c>
      <c r="I115" s="343">
        <v>1</v>
      </c>
      <c r="J115" s="343" t="s">
        <v>2974</v>
      </c>
      <c r="K115" s="343"/>
      <c r="L115" s="344"/>
      <c r="M115" s="343"/>
      <c r="N115" s="343"/>
      <c r="O115" s="345"/>
      <c r="P115" s="334"/>
      <c r="Q115" s="346"/>
      <c r="R115" s="347"/>
      <c r="S115" s="343"/>
      <c r="T115" s="343"/>
      <c r="U115" s="343"/>
      <c r="V115" s="343"/>
      <c r="W115" s="343"/>
      <c r="X115" s="343"/>
      <c r="Y115" s="343"/>
      <c r="Z115" s="343"/>
      <c r="AA115" s="334"/>
    </row>
    <row r="116" spans="1:27" ht="63" hidden="1">
      <c r="A116" s="334" t="s">
        <v>2950</v>
      </c>
      <c r="B116" s="335" t="s">
        <v>3182</v>
      </c>
      <c r="C116" s="334" t="s">
        <v>3165</v>
      </c>
      <c r="D116" s="334" t="s">
        <v>387</v>
      </c>
      <c r="E116" s="348" t="s">
        <v>3193</v>
      </c>
      <c r="F116" s="334" t="s">
        <v>2964</v>
      </c>
      <c r="G116" s="334" t="s">
        <v>2954</v>
      </c>
      <c r="H116" s="334" t="s">
        <v>3175</v>
      </c>
      <c r="I116" s="343">
        <v>1</v>
      </c>
      <c r="J116" s="343" t="s">
        <v>2958</v>
      </c>
      <c r="K116" s="343"/>
      <c r="L116" s="344"/>
      <c r="M116" s="343"/>
      <c r="N116" s="343"/>
      <c r="O116" s="345"/>
      <c r="P116" s="334"/>
      <c r="Q116" s="346"/>
      <c r="R116" s="347"/>
      <c r="S116" s="343"/>
      <c r="T116" s="343"/>
      <c r="U116" s="343"/>
      <c r="V116" s="343"/>
      <c r="W116" s="343"/>
      <c r="X116" s="343"/>
      <c r="Y116" s="343"/>
      <c r="Z116" s="343"/>
      <c r="AA116" s="334"/>
    </row>
    <row r="117" spans="1:27" ht="63" hidden="1">
      <c r="A117" s="334" t="s">
        <v>2950</v>
      </c>
      <c r="B117" s="335" t="s">
        <v>3182</v>
      </c>
      <c r="C117" s="334" t="s">
        <v>3165</v>
      </c>
      <c r="D117" s="334" t="s">
        <v>389</v>
      </c>
      <c r="E117" s="348" t="s">
        <v>3194</v>
      </c>
      <c r="F117" s="334" t="s">
        <v>2964</v>
      </c>
      <c r="G117" s="334" t="s">
        <v>2954</v>
      </c>
      <c r="H117" s="334" t="s">
        <v>3175</v>
      </c>
      <c r="I117" s="343">
        <v>1</v>
      </c>
      <c r="J117" s="343" t="s">
        <v>2958</v>
      </c>
      <c r="K117" s="343"/>
      <c r="L117" s="344"/>
      <c r="M117" s="343"/>
      <c r="N117" s="343"/>
      <c r="O117" s="345"/>
      <c r="P117" s="334"/>
      <c r="Q117" s="346"/>
      <c r="R117" s="347"/>
      <c r="S117" s="343"/>
      <c r="T117" s="343"/>
      <c r="U117" s="343"/>
      <c r="V117" s="343"/>
      <c r="W117" s="343"/>
      <c r="X117" s="343"/>
      <c r="Y117" s="343"/>
      <c r="Z117" s="343"/>
      <c r="AA117" s="334"/>
    </row>
    <row r="118" spans="1:27" ht="45" hidden="1">
      <c r="A118" s="334" t="s">
        <v>2950</v>
      </c>
      <c r="B118" s="335" t="s">
        <v>3182</v>
      </c>
      <c r="C118" s="334" t="s">
        <v>3165</v>
      </c>
      <c r="D118" s="334" t="s">
        <v>391</v>
      </c>
      <c r="E118" s="348" t="s">
        <v>3195</v>
      </c>
      <c r="F118" s="334" t="s">
        <v>2966</v>
      </c>
      <c r="G118" s="334" t="s">
        <v>2954</v>
      </c>
      <c r="H118" s="334" t="s">
        <v>3175</v>
      </c>
      <c r="I118" s="343">
        <v>1</v>
      </c>
      <c r="J118" s="343" t="s">
        <v>2974</v>
      </c>
      <c r="K118" s="343"/>
      <c r="L118" s="344"/>
      <c r="M118" s="343"/>
      <c r="N118" s="343"/>
      <c r="O118" s="345"/>
      <c r="P118" s="334"/>
      <c r="Q118" s="346"/>
      <c r="R118" s="347"/>
      <c r="S118" s="343"/>
      <c r="T118" s="343"/>
      <c r="U118" s="343"/>
      <c r="V118" s="343"/>
      <c r="W118" s="343"/>
      <c r="X118" s="343"/>
      <c r="Y118" s="343"/>
      <c r="Z118" s="343"/>
      <c r="AA118" s="334"/>
    </row>
    <row r="119" spans="1:27" ht="47.25" hidden="1">
      <c r="A119" s="334" t="s">
        <v>2950</v>
      </c>
      <c r="B119" s="335" t="s">
        <v>3182</v>
      </c>
      <c r="C119" s="334" t="s">
        <v>3165</v>
      </c>
      <c r="D119" s="334" t="s">
        <v>393</v>
      </c>
      <c r="E119" s="348" t="s">
        <v>3196</v>
      </c>
      <c r="F119" s="334" t="s">
        <v>2966</v>
      </c>
      <c r="G119" s="334" t="s">
        <v>2954</v>
      </c>
      <c r="H119" s="334" t="s">
        <v>3175</v>
      </c>
      <c r="I119" s="343">
        <v>1</v>
      </c>
      <c r="J119" s="343" t="s">
        <v>2974</v>
      </c>
      <c r="K119" s="343"/>
      <c r="L119" s="344"/>
      <c r="M119" s="343"/>
      <c r="N119" s="343"/>
      <c r="O119" s="345"/>
      <c r="P119" s="334"/>
      <c r="Q119" s="346"/>
      <c r="R119" s="347"/>
      <c r="S119" s="343"/>
      <c r="T119" s="343"/>
      <c r="U119" s="343"/>
      <c r="V119" s="343"/>
      <c r="W119" s="343"/>
      <c r="X119" s="343"/>
      <c r="Y119" s="343"/>
      <c r="Z119" s="343"/>
      <c r="AA119" s="334"/>
    </row>
    <row r="120" spans="1:27" ht="47.25" hidden="1">
      <c r="A120" s="334" t="s">
        <v>2950</v>
      </c>
      <c r="B120" s="335" t="s">
        <v>3182</v>
      </c>
      <c r="C120" s="334" t="s">
        <v>3165</v>
      </c>
      <c r="D120" s="334" t="s">
        <v>395</v>
      </c>
      <c r="E120" s="348" t="s">
        <v>3197</v>
      </c>
      <c r="F120" s="334" t="s">
        <v>2966</v>
      </c>
      <c r="G120" s="334" t="s">
        <v>2954</v>
      </c>
      <c r="H120" s="334" t="s">
        <v>3175</v>
      </c>
      <c r="I120" s="343">
        <v>1</v>
      </c>
      <c r="J120" s="343" t="s">
        <v>2958</v>
      </c>
      <c r="K120" s="343"/>
      <c r="L120" s="344"/>
      <c r="M120" s="343"/>
      <c r="N120" s="343"/>
      <c r="O120" s="345"/>
      <c r="P120" s="334"/>
      <c r="Q120" s="346"/>
      <c r="R120" s="347"/>
      <c r="S120" s="343"/>
      <c r="T120" s="343"/>
      <c r="U120" s="343"/>
      <c r="V120" s="343"/>
      <c r="W120" s="343"/>
      <c r="X120" s="343"/>
      <c r="Y120" s="343"/>
      <c r="Z120" s="343"/>
      <c r="AA120" s="334"/>
    </row>
    <row r="121" spans="1:27" ht="45" hidden="1">
      <c r="A121" s="334" t="s">
        <v>2950</v>
      </c>
      <c r="B121" s="335" t="s">
        <v>3182</v>
      </c>
      <c r="C121" s="334" t="s">
        <v>3165</v>
      </c>
      <c r="D121" s="334" t="s">
        <v>397</v>
      </c>
      <c r="E121" s="348" t="s">
        <v>3198</v>
      </c>
      <c r="F121" s="334" t="s">
        <v>2966</v>
      </c>
      <c r="G121" s="334" t="s">
        <v>2954</v>
      </c>
      <c r="H121" s="334" t="s">
        <v>3175</v>
      </c>
      <c r="I121" s="343">
        <v>1</v>
      </c>
      <c r="J121" s="343" t="s">
        <v>2974</v>
      </c>
      <c r="K121" s="343"/>
      <c r="L121" s="344"/>
      <c r="M121" s="343"/>
      <c r="N121" s="343"/>
      <c r="O121" s="345"/>
      <c r="P121" s="334"/>
      <c r="Q121" s="346"/>
      <c r="R121" s="347"/>
      <c r="S121" s="343"/>
      <c r="T121" s="343"/>
      <c r="U121" s="343"/>
      <c r="V121" s="343"/>
      <c r="W121" s="343"/>
      <c r="X121" s="343"/>
      <c r="Y121" s="343"/>
      <c r="Z121" s="343"/>
      <c r="AA121" s="334"/>
    </row>
    <row r="122" spans="1:27" ht="45" hidden="1">
      <c r="A122" s="334" t="s">
        <v>2950</v>
      </c>
      <c r="B122" s="335" t="s">
        <v>3182</v>
      </c>
      <c r="C122" s="334" t="s">
        <v>3165</v>
      </c>
      <c r="D122" s="334" t="s">
        <v>399</v>
      </c>
      <c r="E122" s="348" t="s">
        <v>3199</v>
      </c>
      <c r="F122" s="334" t="s">
        <v>2966</v>
      </c>
      <c r="G122" s="334" t="s">
        <v>2954</v>
      </c>
      <c r="H122" s="334" t="s">
        <v>3175</v>
      </c>
      <c r="I122" s="343">
        <v>1</v>
      </c>
      <c r="J122" s="343" t="s">
        <v>2958</v>
      </c>
      <c r="K122" s="343"/>
      <c r="L122" s="344"/>
      <c r="M122" s="343"/>
      <c r="N122" s="343"/>
      <c r="O122" s="345"/>
      <c r="P122" s="334"/>
      <c r="Q122" s="346"/>
      <c r="R122" s="347"/>
      <c r="S122" s="343"/>
      <c r="T122" s="343"/>
      <c r="U122" s="343"/>
      <c r="V122" s="343"/>
      <c r="W122" s="343"/>
      <c r="X122" s="343"/>
      <c r="Y122" s="343"/>
      <c r="Z122" s="343"/>
      <c r="AA122" s="334"/>
    </row>
    <row r="123" spans="1:27" ht="47.25" hidden="1">
      <c r="A123" s="334" t="s">
        <v>2950</v>
      </c>
      <c r="B123" s="335" t="s">
        <v>3182</v>
      </c>
      <c r="C123" s="334" t="s">
        <v>3165</v>
      </c>
      <c r="D123" s="334" t="s">
        <v>401</v>
      </c>
      <c r="E123" s="348" t="s">
        <v>3200</v>
      </c>
      <c r="F123" s="334" t="s">
        <v>2966</v>
      </c>
      <c r="G123" s="334" t="s">
        <v>2954</v>
      </c>
      <c r="H123" s="334" t="s">
        <v>3175</v>
      </c>
      <c r="I123" s="343">
        <v>1</v>
      </c>
      <c r="J123" s="343" t="s">
        <v>2974</v>
      </c>
      <c r="K123" s="343"/>
      <c r="L123" s="344"/>
      <c r="M123" s="343"/>
      <c r="N123" s="343"/>
      <c r="O123" s="345"/>
      <c r="P123" s="334"/>
      <c r="Q123" s="346"/>
      <c r="R123" s="347"/>
      <c r="S123" s="343"/>
      <c r="T123" s="343"/>
      <c r="U123" s="343"/>
      <c r="V123" s="343"/>
      <c r="W123" s="343"/>
      <c r="X123" s="343"/>
      <c r="Y123" s="343"/>
      <c r="Z123" s="343"/>
      <c r="AA123" s="334"/>
    </row>
    <row r="124" spans="1:27" ht="94.5" hidden="1">
      <c r="A124" s="334" t="s">
        <v>2950</v>
      </c>
      <c r="B124" s="335" t="s">
        <v>3164</v>
      </c>
      <c r="C124" s="334" t="s">
        <v>3165</v>
      </c>
      <c r="D124" s="334" t="s">
        <v>403</v>
      </c>
      <c r="E124" s="467" t="s">
        <v>3201</v>
      </c>
      <c r="F124" s="442"/>
      <c r="G124" s="442" t="s">
        <v>2954</v>
      </c>
      <c r="H124" s="442" t="s">
        <v>3175</v>
      </c>
      <c r="I124" s="443">
        <v>1</v>
      </c>
      <c r="J124" s="443"/>
      <c r="K124" s="343"/>
      <c r="L124" s="344"/>
      <c r="M124" s="343"/>
      <c r="N124" s="343"/>
      <c r="O124" s="345"/>
      <c r="P124" s="334"/>
      <c r="Q124" s="346"/>
      <c r="R124" s="347"/>
      <c r="S124" s="343"/>
      <c r="T124" s="343"/>
      <c r="U124" s="343"/>
      <c r="V124" s="343"/>
      <c r="W124" s="343"/>
      <c r="X124" s="343"/>
      <c r="Y124" s="343"/>
      <c r="Z124" s="343"/>
      <c r="AA124" s="334"/>
    </row>
    <row r="125" spans="1:27" ht="67.5" hidden="1">
      <c r="A125" s="334" t="s">
        <v>2950</v>
      </c>
      <c r="B125" s="335" t="s">
        <v>3164</v>
      </c>
      <c r="C125" s="334" t="s">
        <v>3165</v>
      </c>
      <c r="D125" s="334" t="s">
        <v>405</v>
      </c>
      <c r="E125" s="348" t="s">
        <v>3202</v>
      </c>
      <c r="F125" s="334" t="s">
        <v>2966</v>
      </c>
      <c r="G125" s="334" t="s">
        <v>2954</v>
      </c>
      <c r="H125" s="334" t="s">
        <v>3175</v>
      </c>
      <c r="I125" s="343">
        <v>1</v>
      </c>
      <c r="J125" s="343" t="s">
        <v>3000</v>
      </c>
      <c r="K125" s="343"/>
      <c r="L125" s="344"/>
      <c r="M125" s="343"/>
      <c r="N125" s="343"/>
      <c r="O125" s="345"/>
      <c r="P125" s="334"/>
      <c r="Q125" s="346"/>
      <c r="R125" s="347"/>
      <c r="S125" s="343"/>
      <c r="T125" s="343"/>
      <c r="U125" s="343"/>
      <c r="V125" s="343"/>
      <c r="W125" s="343"/>
      <c r="X125" s="343"/>
      <c r="Y125" s="343"/>
      <c r="Z125" s="343"/>
      <c r="AA125" s="334"/>
    </row>
    <row r="126" spans="1:27" ht="67.5" hidden="1">
      <c r="A126" s="334" t="s">
        <v>2950</v>
      </c>
      <c r="B126" s="335" t="s">
        <v>3164</v>
      </c>
      <c r="C126" s="334" t="s">
        <v>3165</v>
      </c>
      <c r="D126" s="334" t="s">
        <v>407</v>
      </c>
      <c r="E126" s="348" t="s">
        <v>3203</v>
      </c>
      <c r="F126" s="334" t="s">
        <v>2961</v>
      </c>
      <c r="G126" s="334" t="s">
        <v>2954</v>
      </c>
      <c r="H126" s="334" t="s">
        <v>3175</v>
      </c>
      <c r="I126" s="343">
        <v>1</v>
      </c>
      <c r="J126" s="343" t="s">
        <v>2974</v>
      </c>
      <c r="K126" s="343"/>
      <c r="L126" s="344"/>
      <c r="M126" s="343"/>
      <c r="N126" s="343"/>
      <c r="O126" s="345"/>
      <c r="P126" s="334"/>
      <c r="Q126" s="346"/>
      <c r="R126" s="347"/>
      <c r="S126" s="343"/>
      <c r="T126" s="343"/>
      <c r="U126" s="343"/>
      <c r="V126" s="343"/>
      <c r="W126" s="343"/>
      <c r="X126" s="343"/>
      <c r="Y126" s="343"/>
      <c r="Z126" s="343"/>
      <c r="AA126" s="334"/>
    </row>
    <row r="127" spans="1:27" ht="67.5" hidden="1">
      <c r="A127" s="334" t="s">
        <v>2950</v>
      </c>
      <c r="B127" s="335" t="s">
        <v>3164</v>
      </c>
      <c r="C127" s="334" t="s">
        <v>3165</v>
      </c>
      <c r="D127" s="334" t="s">
        <v>409</v>
      </c>
      <c r="E127" s="348" t="s">
        <v>3204</v>
      </c>
      <c r="F127" s="334" t="s">
        <v>2961</v>
      </c>
      <c r="G127" s="334" t="s">
        <v>2954</v>
      </c>
      <c r="H127" s="334" t="s">
        <v>3205</v>
      </c>
      <c r="I127" s="343">
        <v>1</v>
      </c>
      <c r="J127" s="343" t="s">
        <v>2974</v>
      </c>
      <c r="K127" s="343"/>
      <c r="L127" s="344"/>
      <c r="M127" s="343"/>
      <c r="N127" s="343"/>
      <c r="O127" s="345"/>
      <c r="P127" s="334"/>
      <c r="Q127" s="346"/>
      <c r="R127" s="347"/>
      <c r="S127" s="343"/>
      <c r="T127" s="343"/>
      <c r="U127" s="343"/>
      <c r="V127" s="343"/>
      <c r="W127" s="343"/>
      <c r="X127" s="343"/>
      <c r="Y127" s="343"/>
      <c r="Z127" s="343"/>
      <c r="AA127" s="334"/>
    </row>
    <row r="128" spans="1:27" ht="67.5" hidden="1">
      <c r="A128" s="334" t="s">
        <v>2950</v>
      </c>
      <c r="B128" s="335" t="s">
        <v>3164</v>
      </c>
      <c r="C128" s="334" t="s">
        <v>3165</v>
      </c>
      <c r="D128" s="334" t="s">
        <v>411</v>
      </c>
      <c r="E128" s="348" t="s">
        <v>3206</v>
      </c>
      <c r="F128" s="334" t="s">
        <v>2966</v>
      </c>
      <c r="G128" s="334" t="s">
        <v>2954</v>
      </c>
      <c r="H128" s="334" t="s">
        <v>3175</v>
      </c>
      <c r="I128" s="343">
        <v>1</v>
      </c>
      <c r="J128" s="343" t="s">
        <v>2974</v>
      </c>
      <c r="K128" s="343"/>
      <c r="L128" s="344"/>
      <c r="M128" s="343"/>
      <c r="N128" s="343"/>
      <c r="O128" s="345"/>
      <c r="P128" s="334"/>
      <c r="Q128" s="346"/>
      <c r="R128" s="347"/>
      <c r="S128" s="343"/>
      <c r="T128" s="343"/>
      <c r="U128" s="343"/>
      <c r="V128" s="343"/>
      <c r="W128" s="343"/>
      <c r="X128" s="343"/>
      <c r="Y128" s="343"/>
      <c r="Z128" s="343"/>
      <c r="AA128" s="334"/>
    </row>
    <row r="129" spans="1:27" ht="197.25" hidden="1" customHeight="1">
      <c r="A129" s="334" t="s">
        <v>2950</v>
      </c>
      <c r="B129" s="335" t="s">
        <v>3164</v>
      </c>
      <c r="C129" s="334" t="s">
        <v>3207</v>
      </c>
      <c r="D129" s="334" t="s">
        <v>414</v>
      </c>
      <c r="E129" s="334" t="s">
        <v>3208</v>
      </c>
      <c r="F129" s="334" t="s">
        <v>2993</v>
      </c>
      <c r="G129" s="334" t="s">
        <v>2957</v>
      </c>
      <c r="H129" s="334" t="s">
        <v>3209</v>
      </c>
      <c r="I129" s="334">
        <v>6</v>
      </c>
      <c r="J129" s="334" t="s">
        <v>2974</v>
      </c>
      <c r="K129" s="334"/>
      <c r="L129" s="344"/>
      <c r="M129" s="334"/>
      <c r="N129" s="334"/>
      <c r="O129" s="345"/>
      <c r="P129" s="334"/>
      <c r="Q129" s="340"/>
      <c r="R129" s="349"/>
      <c r="S129" s="334"/>
      <c r="T129" s="334"/>
      <c r="U129" s="334"/>
      <c r="V129" s="334"/>
      <c r="W129" s="334"/>
      <c r="X129" s="334"/>
      <c r="Y129" s="334"/>
      <c r="Z129" s="334"/>
      <c r="AA129" s="334"/>
    </row>
    <row r="130" spans="1:27" ht="67.5" hidden="1">
      <c r="A130" s="334" t="s">
        <v>2950</v>
      </c>
      <c r="B130" s="335" t="s">
        <v>3164</v>
      </c>
      <c r="C130" s="334" t="s">
        <v>3207</v>
      </c>
      <c r="D130" s="334" t="s">
        <v>417</v>
      </c>
      <c r="E130" s="334" t="s">
        <v>3210</v>
      </c>
      <c r="F130" s="334" t="s">
        <v>2964</v>
      </c>
      <c r="G130" s="334" t="s">
        <v>2957</v>
      </c>
      <c r="H130" s="334" t="s">
        <v>3211</v>
      </c>
      <c r="I130" s="334" t="s">
        <v>3212</v>
      </c>
      <c r="J130" s="334" t="s">
        <v>2974</v>
      </c>
      <c r="K130" s="334"/>
      <c r="L130" s="344"/>
      <c r="M130" s="334"/>
      <c r="N130" s="334"/>
      <c r="O130" s="345"/>
      <c r="P130" s="334"/>
      <c r="Q130" s="340"/>
      <c r="R130" s="349"/>
      <c r="S130" s="334"/>
      <c r="T130" s="334"/>
      <c r="U130" s="334"/>
      <c r="V130" s="334"/>
      <c r="W130" s="334"/>
      <c r="X130" s="334"/>
      <c r="Y130" s="334"/>
      <c r="Z130" s="334"/>
      <c r="AA130" s="334"/>
    </row>
    <row r="131" spans="1:27" ht="78.75" hidden="1">
      <c r="A131" s="334" t="s">
        <v>2950</v>
      </c>
      <c r="B131" s="335" t="s">
        <v>3164</v>
      </c>
      <c r="C131" s="334" t="s">
        <v>3207</v>
      </c>
      <c r="D131" s="334" t="s">
        <v>421</v>
      </c>
      <c r="E131" s="334" t="s">
        <v>3213</v>
      </c>
      <c r="F131" s="442"/>
      <c r="G131" s="442" t="s">
        <v>2954</v>
      </c>
      <c r="H131" s="442"/>
      <c r="I131" s="443"/>
      <c r="J131" s="442"/>
      <c r="K131" s="442"/>
      <c r="L131" s="444"/>
      <c r="M131" s="442"/>
      <c r="N131" s="442"/>
      <c r="O131" s="445"/>
      <c r="P131" s="442"/>
      <c r="Q131" s="340"/>
      <c r="R131" s="446"/>
      <c r="S131" s="442"/>
      <c r="T131" s="442"/>
      <c r="U131" s="442"/>
      <c r="V131" s="442"/>
      <c r="W131" s="442"/>
      <c r="X131" s="442"/>
      <c r="Y131" s="442"/>
      <c r="Z131" s="442"/>
      <c r="AA131" s="442"/>
    </row>
    <row r="132" spans="1:27" ht="67.5" hidden="1">
      <c r="A132" s="334" t="s">
        <v>2950</v>
      </c>
      <c r="B132" s="335" t="s">
        <v>3164</v>
      </c>
      <c r="C132" s="334" t="s">
        <v>3207</v>
      </c>
      <c r="D132" s="334" t="s">
        <v>423</v>
      </c>
      <c r="E132" s="348" t="s">
        <v>3214</v>
      </c>
      <c r="F132" s="334" t="s">
        <v>2993</v>
      </c>
      <c r="G132" s="334" t="s">
        <v>2954</v>
      </c>
      <c r="H132" s="334" t="s">
        <v>3215</v>
      </c>
      <c r="I132" s="334" t="s">
        <v>3080</v>
      </c>
      <c r="J132" s="334" t="s">
        <v>2974</v>
      </c>
      <c r="K132" s="334"/>
      <c r="L132" s="344"/>
      <c r="M132" s="334"/>
      <c r="N132" s="334"/>
      <c r="O132" s="345"/>
      <c r="P132" s="334"/>
      <c r="Q132" s="340"/>
      <c r="R132" s="349"/>
      <c r="S132" s="334"/>
      <c r="T132" s="334"/>
      <c r="U132" s="334"/>
      <c r="V132" s="334"/>
      <c r="W132" s="334"/>
      <c r="X132" s="334"/>
      <c r="Y132" s="334"/>
      <c r="Z132" s="334"/>
      <c r="AA132" s="334"/>
    </row>
    <row r="133" spans="1:27" ht="67.5" hidden="1">
      <c r="A133" s="334" t="s">
        <v>2950</v>
      </c>
      <c r="B133" s="335" t="s">
        <v>3164</v>
      </c>
      <c r="C133" s="334" t="s">
        <v>3207</v>
      </c>
      <c r="D133" s="334" t="s">
        <v>426</v>
      </c>
      <c r="E133" s="348" t="s">
        <v>3216</v>
      </c>
      <c r="F133" s="334" t="s">
        <v>2993</v>
      </c>
      <c r="G133" s="334" t="s">
        <v>2954</v>
      </c>
      <c r="H133" s="334" t="s">
        <v>3217</v>
      </c>
      <c r="I133" s="334" t="s">
        <v>3080</v>
      </c>
      <c r="J133" s="334" t="s">
        <v>2974</v>
      </c>
      <c r="K133" s="334"/>
      <c r="L133" s="344"/>
      <c r="M133" s="334"/>
      <c r="N133" s="334"/>
      <c r="O133" s="345"/>
      <c r="P133" s="334"/>
      <c r="Q133" s="340"/>
      <c r="R133" s="349"/>
      <c r="S133" s="334"/>
      <c r="T133" s="334"/>
      <c r="U133" s="334"/>
      <c r="V133" s="334"/>
      <c r="W133" s="334"/>
      <c r="X133" s="334"/>
      <c r="Y133" s="334"/>
      <c r="Z133" s="334"/>
      <c r="AA133" s="334"/>
    </row>
    <row r="134" spans="1:27" ht="94.5" hidden="1">
      <c r="A134" s="334" t="s">
        <v>2950</v>
      </c>
      <c r="B134" s="335" t="s">
        <v>3164</v>
      </c>
      <c r="C134" s="334" t="s">
        <v>3218</v>
      </c>
      <c r="D134" s="334" t="s">
        <v>430</v>
      </c>
      <c r="E134" s="334" t="s">
        <v>3219</v>
      </c>
      <c r="F134" s="334" t="s">
        <v>2993</v>
      </c>
      <c r="G134" s="334" t="s">
        <v>2954</v>
      </c>
      <c r="H134" s="334" t="s">
        <v>3220</v>
      </c>
      <c r="I134" s="334">
        <v>2030</v>
      </c>
      <c r="J134" s="334"/>
      <c r="K134" s="334"/>
      <c r="L134" s="344"/>
      <c r="M134" s="334"/>
      <c r="N134" s="334"/>
      <c r="O134" s="345"/>
      <c r="P134" s="334"/>
      <c r="Q134" s="340"/>
      <c r="R134" s="349"/>
      <c r="S134" s="334"/>
      <c r="T134" s="334"/>
      <c r="U134" s="334"/>
      <c r="V134" s="334"/>
      <c r="W134" s="334"/>
      <c r="X134" s="334"/>
      <c r="Y134" s="334"/>
      <c r="Z134" s="334"/>
      <c r="AA134" s="334"/>
    </row>
    <row r="135" spans="1:27" ht="84" hidden="1" customHeight="1">
      <c r="A135" s="334" t="s">
        <v>2950</v>
      </c>
      <c r="B135" s="335" t="s">
        <v>3164</v>
      </c>
      <c r="C135" s="334" t="s">
        <v>3218</v>
      </c>
      <c r="D135" s="334" t="s">
        <v>433</v>
      </c>
      <c r="E135" s="334" t="s">
        <v>3221</v>
      </c>
      <c r="F135" s="442"/>
      <c r="G135" s="442" t="s">
        <v>2954</v>
      </c>
      <c r="H135" s="442"/>
      <c r="I135" s="443"/>
      <c r="J135" s="442"/>
      <c r="K135" s="442"/>
      <c r="L135" s="444"/>
      <c r="M135" s="442"/>
      <c r="N135" s="442"/>
      <c r="O135" s="445"/>
      <c r="P135" s="442"/>
      <c r="Q135" s="340"/>
      <c r="R135" s="446"/>
      <c r="S135" s="442"/>
      <c r="T135" s="442"/>
      <c r="U135" s="442"/>
      <c r="V135" s="442"/>
      <c r="W135" s="442"/>
      <c r="X135" s="442"/>
      <c r="Y135" s="442"/>
      <c r="Z135" s="442"/>
      <c r="AA135" s="442"/>
    </row>
    <row r="136" spans="1:27" ht="94.5" hidden="1">
      <c r="A136" s="334" t="s">
        <v>2950</v>
      </c>
      <c r="B136" s="335" t="s">
        <v>3164</v>
      </c>
      <c r="C136" s="334" t="s">
        <v>3218</v>
      </c>
      <c r="D136" s="334" t="s">
        <v>436</v>
      </c>
      <c r="E136" s="348" t="s">
        <v>3222</v>
      </c>
      <c r="F136" s="334" t="s">
        <v>2993</v>
      </c>
      <c r="G136" s="334" t="s">
        <v>2954</v>
      </c>
      <c r="H136" s="334" t="s">
        <v>3223</v>
      </c>
      <c r="I136" s="334" t="s">
        <v>3080</v>
      </c>
      <c r="J136" s="334" t="s">
        <v>2974</v>
      </c>
      <c r="K136" s="334"/>
      <c r="L136" s="344"/>
      <c r="M136" s="334"/>
      <c r="N136" s="334"/>
      <c r="O136" s="345"/>
      <c r="P136" s="334"/>
      <c r="Q136" s="340"/>
      <c r="R136" s="349"/>
      <c r="S136" s="334"/>
      <c r="T136" s="334"/>
      <c r="U136" s="334"/>
      <c r="V136" s="334"/>
      <c r="W136" s="334"/>
      <c r="X136" s="334"/>
      <c r="Y136" s="334"/>
      <c r="Z136" s="334"/>
      <c r="AA136" s="334"/>
    </row>
    <row r="137" spans="1:27" ht="94.5" hidden="1">
      <c r="A137" s="334" t="s">
        <v>2950</v>
      </c>
      <c r="B137" s="335" t="s">
        <v>3164</v>
      </c>
      <c r="C137" s="334" t="s">
        <v>3218</v>
      </c>
      <c r="D137" s="334" t="s">
        <v>438</v>
      </c>
      <c r="E137" s="348" t="s">
        <v>3224</v>
      </c>
      <c r="F137" s="334" t="s">
        <v>2993</v>
      </c>
      <c r="G137" s="334" t="s">
        <v>2954</v>
      </c>
      <c r="H137" s="334" t="s">
        <v>3223</v>
      </c>
      <c r="I137" s="334" t="s">
        <v>3080</v>
      </c>
      <c r="J137" s="334" t="s">
        <v>2958</v>
      </c>
      <c r="K137" s="334"/>
      <c r="L137" s="344"/>
      <c r="M137" s="334"/>
      <c r="N137" s="334"/>
      <c r="O137" s="345"/>
      <c r="P137" s="334"/>
      <c r="Q137" s="340"/>
      <c r="R137" s="349"/>
      <c r="S137" s="334"/>
      <c r="T137" s="334"/>
      <c r="U137" s="334"/>
      <c r="V137" s="334"/>
      <c r="W137" s="334"/>
      <c r="X137" s="334"/>
      <c r="Y137" s="334"/>
      <c r="Z137" s="334"/>
      <c r="AA137" s="334"/>
    </row>
    <row r="138" spans="1:27" ht="94.5" hidden="1">
      <c r="A138" s="334" t="s">
        <v>2950</v>
      </c>
      <c r="B138" s="335" t="s">
        <v>3164</v>
      </c>
      <c r="C138" s="334" t="s">
        <v>3218</v>
      </c>
      <c r="D138" s="334" t="s">
        <v>440</v>
      </c>
      <c r="E138" s="348" t="s">
        <v>3225</v>
      </c>
      <c r="F138" s="334" t="s">
        <v>2993</v>
      </c>
      <c r="G138" s="334" t="s">
        <v>2954</v>
      </c>
      <c r="H138" s="334" t="s">
        <v>3223</v>
      </c>
      <c r="I138" s="334" t="s">
        <v>3080</v>
      </c>
      <c r="J138" s="334" t="s">
        <v>2958</v>
      </c>
      <c r="K138" s="334"/>
      <c r="L138" s="344"/>
      <c r="M138" s="334"/>
      <c r="N138" s="334"/>
      <c r="O138" s="345"/>
      <c r="P138" s="334"/>
      <c r="Q138" s="340"/>
      <c r="R138" s="349"/>
      <c r="S138" s="334"/>
      <c r="T138" s="334"/>
      <c r="U138" s="334"/>
      <c r="V138" s="334"/>
      <c r="W138" s="334"/>
      <c r="X138" s="334"/>
      <c r="Y138" s="334"/>
      <c r="Z138" s="334"/>
      <c r="AA138" s="334"/>
    </row>
    <row r="139" spans="1:27" ht="94.5" hidden="1">
      <c r="A139" s="334" t="s">
        <v>2950</v>
      </c>
      <c r="B139" s="335" t="s">
        <v>3164</v>
      </c>
      <c r="C139" s="334" t="s">
        <v>3218</v>
      </c>
      <c r="D139" s="334" t="s">
        <v>442</v>
      </c>
      <c r="E139" s="348" t="s">
        <v>3226</v>
      </c>
      <c r="F139" s="334" t="s">
        <v>2964</v>
      </c>
      <c r="G139" s="334" t="s">
        <v>2954</v>
      </c>
      <c r="H139" s="334" t="s">
        <v>3223</v>
      </c>
      <c r="I139" s="334" t="s">
        <v>3080</v>
      </c>
      <c r="J139" s="334" t="s">
        <v>2958</v>
      </c>
      <c r="K139" s="334"/>
      <c r="L139" s="344"/>
      <c r="M139" s="334"/>
      <c r="N139" s="334"/>
      <c r="O139" s="345"/>
      <c r="P139" s="334"/>
      <c r="Q139" s="340"/>
      <c r="R139" s="349"/>
      <c r="S139" s="334"/>
      <c r="T139" s="334"/>
      <c r="U139" s="334"/>
      <c r="V139" s="334"/>
      <c r="W139" s="334"/>
      <c r="X139" s="334"/>
      <c r="Y139" s="334"/>
      <c r="Z139" s="334"/>
      <c r="AA139" s="334"/>
    </row>
    <row r="140" spans="1:27" ht="94.5" hidden="1">
      <c r="A140" s="334" t="s">
        <v>2950</v>
      </c>
      <c r="B140" s="335" t="s">
        <v>3164</v>
      </c>
      <c r="C140" s="334" t="s">
        <v>3218</v>
      </c>
      <c r="D140" s="334" t="s">
        <v>444</v>
      </c>
      <c r="E140" s="348" t="s">
        <v>3227</v>
      </c>
      <c r="F140" s="334" t="s">
        <v>2964</v>
      </c>
      <c r="G140" s="334" t="s">
        <v>2954</v>
      </c>
      <c r="H140" s="334" t="s">
        <v>3223</v>
      </c>
      <c r="I140" s="334" t="s">
        <v>3080</v>
      </c>
      <c r="J140" s="334" t="s">
        <v>2958</v>
      </c>
      <c r="K140" s="334"/>
      <c r="L140" s="344"/>
      <c r="M140" s="334"/>
      <c r="N140" s="334"/>
      <c r="O140" s="345"/>
      <c r="P140" s="334"/>
      <c r="Q140" s="340"/>
      <c r="R140" s="349"/>
      <c r="S140" s="334"/>
      <c r="T140" s="334"/>
      <c r="U140" s="334"/>
      <c r="V140" s="334"/>
      <c r="W140" s="334"/>
      <c r="X140" s="334"/>
      <c r="Y140" s="334"/>
      <c r="Z140" s="334"/>
      <c r="AA140" s="334"/>
    </row>
    <row r="141" spans="1:27" ht="94.5" hidden="1">
      <c r="A141" s="334" t="s">
        <v>2950</v>
      </c>
      <c r="B141" s="335" t="s">
        <v>3164</v>
      </c>
      <c r="C141" s="334" t="s">
        <v>3218</v>
      </c>
      <c r="D141" s="334" t="s">
        <v>446</v>
      </c>
      <c r="E141" s="348" t="s">
        <v>3228</v>
      </c>
      <c r="F141" s="334" t="s">
        <v>2964</v>
      </c>
      <c r="G141" s="334" t="s">
        <v>2954</v>
      </c>
      <c r="H141" s="334" t="s">
        <v>3223</v>
      </c>
      <c r="I141" s="334" t="s">
        <v>3080</v>
      </c>
      <c r="J141" s="334" t="s">
        <v>2958</v>
      </c>
      <c r="K141" s="334"/>
      <c r="L141" s="344"/>
      <c r="M141" s="334"/>
      <c r="N141" s="334"/>
      <c r="O141" s="345"/>
      <c r="P141" s="334"/>
      <c r="Q141" s="340"/>
      <c r="R141" s="349"/>
      <c r="S141" s="334"/>
      <c r="T141" s="334"/>
      <c r="U141" s="334"/>
      <c r="V141" s="334"/>
      <c r="W141" s="334"/>
      <c r="X141" s="334"/>
      <c r="Y141" s="334"/>
      <c r="Z141" s="334"/>
      <c r="AA141" s="334"/>
    </row>
    <row r="142" spans="1:27" ht="94.5" hidden="1">
      <c r="A142" s="334" t="s">
        <v>2950</v>
      </c>
      <c r="B142" s="335" t="s">
        <v>3164</v>
      </c>
      <c r="C142" s="334" t="s">
        <v>3218</v>
      </c>
      <c r="D142" s="334" t="s">
        <v>448</v>
      </c>
      <c r="E142" s="334" t="s">
        <v>3229</v>
      </c>
      <c r="F142" s="442"/>
      <c r="G142" s="442" t="s">
        <v>2954</v>
      </c>
      <c r="H142" s="442"/>
      <c r="I142" s="443"/>
      <c r="J142" s="442"/>
      <c r="K142" s="442"/>
      <c r="L142" s="444"/>
      <c r="M142" s="442"/>
      <c r="N142" s="442"/>
      <c r="O142" s="445"/>
      <c r="P142" s="442"/>
      <c r="Q142" s="340"/>
      <c r="R142" s="446"/>
      <c r="S142" s="442"/>
      <c r="T142" s="442"/>
      <c r="U142" s="442"/>
      <c r="V142" s="442"/>
      <c r="W142" s="442"/>
      <c r="X142" s="442"/>
      <c r="Y142" s="442"/>
      <c r="Z142" s="442"/>
      <c r="AA142" s="442"/>
    </row>
    <row r="143" spans="1:27" ht="29.45" hidden="1" customHeight="1">
      <c r="A143" s="334" t="s">
        <v>2950</v>
      </c>
      <c r="B143" s="335" t="s">
        <v>3164</v>
      </c>
      <c r="C143" s="334" t="s">
        <v>3218</v>
      </c>
      <c r="D143" s="334" t="s">
        <v>451</v>
      </c>
      <c r="E143" s="348" t="s">
        <v>3230</v>
      </c>
      <c r="F143" s="334" t="s">
        <v>2956</v>
      </c>
      <c r="G143" s="334" t="s">
        <v>2954</v>
      </c>
      <c r="H143" s="334" t="s">
        <v>3231</v>
      </c>
      <c r="I143" s="334" t="s">
        <v>3080</v>
      </c>
      <c r="J143" s="334" t="s">
        <v>2958</v>
      </c>
      <c r="K143" s="334"/>
      <c r="L143" s="344"/>
      <c r="M143" s="334"/>
      <c r="N143" s="334"/>
      <c r="O143" s="345"/>
      <c r="P143" s="334"/>
      <c r="Q143" s="340"/>
      <c r="R143" s="349"/>
      <c r="S143" s="334"/>
      <c r="T143" s="334"/>
      <c r="U143" s="334"/>
      <c r="V143" s="334"/>
      <c r="W143" s="334"/>
      <c r="X143" s="334"/>
      <c r="Y143" s="334"/>
      <c r="Z143" s="334"/>
      <c r="AA143" s="334"/>
    </row>
    <row r="144" spans="1:27" ht="46.5" hidden="1" customHeight="1">
      <c r="A144" s="334" t="s">
        <v>2950</v>
      </c>
      <c r="B144" s="335" t="s">
        <v>3164</v>
      </c>
      <c r="C144" s="334" t="s">
        <v>3218</v>
      </c>
      <c r="D144" s="334" t="s">
        <v>453</v>
      </c>
      <c r="E144" s="348" t="s">
        <v>3232</v>
      </c>
      <c r="F144" s="334" t="s">
        <v>2956</v>
      </c>
      <c r="G144" s="334" t="s">
        <v>2954</v>
      </c>
      <c r="H144" s="334" t="s">
        <v>3231</v>
      </c>
      <c r="I144" s="334" t="s">
        <v>3080</v>
      </c>
      <c r="J144" s="334" t="s">
        <v>2958</v>
      </c>
      <c r="K144" s="334"/>
      <c r="L144" s="344"/>
      <c r="M144" s="334"/>
      <c r="N144" s="334"/>
      <c r="O144" s="345"/>
      <c r="P144" s="334"/>
      <c r="Q144" s="340"/>
      <c r="R144" s="349"/>
      <c r="S144" s="334"/>
      <c r="T144" s="334"/>
      <c r="U144" s="334"/>
      <c r="V144" s="334"/>
      <c r="W144" s="334"/>
      <c r="X144" s="334"/>
      <c r="Y144" s="334"/>
      <c r="Z144" s="334"/>
      <c r="AA144" s="334"/>
    </row>
    <row r="145" spans="1:27" ht="94.5" hidden="1">
      <c r="A145" s="334" t="s">
        <v>2950</v>
      </c>
      <c r="B145" s="335" t="s">
        <v>3164</v>
      </c>
      <c r="C145" s="334" t="s">
        <v>3218</v>
      </c>
      <c r="D145" s="334" t="s">
        <v>455</v>
      </c>
      <c r="E145" s="348" t="s">
        <v>3233</v>
      </c>
      <c r="F145" s="334" t="s">
        <v>2956</v>
      </c>
      <c r="G145" s="334" t="s">
        <v>2954</v>
      </c>
      <c r="H145" s="334" t="s">
        <v>3231</v>
      </c>
      <c r="I145" s="334" t="s">
        <v>3080</v>
      </c>
      <c r="J145" s="334" t="s">
        <v>2958</v>
      </c>
      <c r="K145" s="334"/>
      <c r="L145" s="344"/>
      <c r="M145" s="334"/>
      <c r="N145" s="334"/>
      <c r="O145" s="345"/>
      <c r="P145" s="334"/>
      <c r="Q145" s="340"/>
      <c r="R145" s="349"/>
      <c r="S145" s="334"/>
      <c r="T145" s="334"/>
      <c r="U145" s="334"/>
      <c r="V145" s="334"/>
      <c r="W145" s="334"/>
      <c r="X145" s="334"/>
      <c r="Y145" s="334"/>
      <c r="Z145" s="334"/>
      <c r="AA145" s="334"/>
    </row>
    <row r="146" spans="1:27" ht="94.5" hidden="1">
      <c r="A146" s="334" t="s">
        <v>2950</v>
      </c>
      <c r="B146" s="335" t="s">
        <v>3164</v>
      </c>
      <c r="C146" s="334" t="s">
        <v>3218</v>
      </c>
      <c r="D146" s="334" t="s">
        <v>457</v>
      </c>
      <c r="E146" s="348" t="s">
        <v>3234</v>
      </c>
      <c r="F146" s="334" t="s">
        <v>2964</v>
      </c>
      <c r="G146" s="334" t="s">
        <v>2954</v>
      </c>
      <c r="H146" s="334" t="s">
        <v>3231</v>
      </c>
      <c r="I146" s="334" t="s">
        <v>3080</v>
      </c>
      <c r="J146" s="334" t="s">
        <v>2958</v>
      </c>
      <c r="K146" s="334"/>
      <c r="L146" s="344"/>
      <c r="M146" s="334"/>
      <c r="N146" s="334"/>
      <c r="O146" s="345"/>
      <c r="P146" s="334"/>
      <c r="Q146" s="340"/>
      <c r="R146" s="349"/>
      <c r="S146" s="334"/>
      <c r="T146" s="334"/>
      <c r="U146" s="334"/>
      <c r="V146" s="334"/>
      <c r="W146" s="334"/>
      <c r="X146" s="334"/>
      <c r="Y146" s="334"/>
      <c r="Z146" s="334"/>
      <c r="AA146" s="334"/>
    </row>
    <row r="147" spans="1:27" ht="94.5" hidden="1">
      <c r="A147" s="334" t="s">
        <v>2950</v>
      </c>
      <c r="B147" s="335" t="s">
        <v>3164</v>
      </c>
      <c r="C147" s="334" t="s">
        <v>3218</v>
      </c>
      <c r="D147" s="334" t="s">
        <v>459</v>
      </c>
      <c r="E147" s="348" t="s">
        <v>3235</v>
      </c>
      <c r="F147" s="334" t="s">
        <v>2964</v>
      </c>
      <c r="G147" s="334" t="s">
        <v>2954</v>
      </c>
      <c r="H147" s="334" t="s">
        <v>3231</v>
      </c>
      <c r="I147" s="334" t="s">
        <v>3080</v>
      </c>
      <c r="J147" s="334" t="s">
        <v>2958</v>
      </c>
      <c r="K147" s="334"/>
      <c r="L147" s="344"/>
      <c r="M147" s="334"/>
      <c r="N147" s="334"/>
      <c r="O147" s="345"/>
      <c r="P147" s="334"/>
      <c r="Q147" s="340"/>
      <c r="R147" s="349"/>
      <c r="S147" s="334"/>
      <c r="T147" s="334"/>
      <c r="U147" s="334"/>
      <c r="V147" s="334"/>
      <c r="W147" s="334"/>
      <c r="X147" s="334"/>
      <c r="Y147" s="334"/>
      <c r="Z147" s="334"/>
      <c r="AA147" s="334"/>
    </row>
    <row r="148" spans="1:27" ht="94.5" hidden="1">
      <c r="A148" s="334" t="s">
        <v>2950</v>
      </c>
      <c r="B148" s="335" t="s">
        <v>3164</v>
      </c>
      <c r="C148" s="334" t="s">
        <v>3218</v>
      </c>
      <c r="D148" s="334" t="s">
        <v>461</v>
      </c>
      <c r="E148" s="348" t="s">
        <v>3236</v>
      </c>
      <c r="F148" s="334" t="s">
        <v>2964</v>
      </c>
      <c r="G148" s="334" t="s">
        <v>2954</v>
      </c>
      <c r="H148" s="334" t="s">
        <v>3231</v>
      </c>
      <c r="I148" s="334" t="s">
        <v>3080</v>
      </c>
      <c r="J148" s="334" t="s">
        <v>2958</v>
      </c>
      <c r="K148" s="334"/>
      <c r="L148" s="344"/>
      <c r="M148" s="334"/>
      <c r="N148" s="334"/>
      <c r="O148" s="345"/>
      <c r="P148" s="334"/>
      <c r="Q148" s="340"/>
      <c r="R148" s="349"/>
      <c r="S148" s="334"/>
      <c r="T148" s="334"/>
      <c r="U148" s="334"/>
      <c r="V148" s="334"/>
      <c r="W148" s="334"/>
      <c r="X148" s="334"/>
      <c r="Y148" s="334"/>
      <c r="Z148" s="334"/>
      <c r="AA148" s="334"/>
    </row>
    <row r="149" spans="1:27" ht="36" hidden="1" customHeight="1">
      <c r="A149" s="334" t="s">
        <v>2950</v>
      </c>
      <c r="B149" s="335" t="s">
        <v>3164</v>
      </c>
      <c r="C149" s="334" t="s">
        <v>3218</v>
      </c>
      <c r="D149" s="334" t="s">
        <v>463</v>
      </c>
      <c r="E149" s="348" t="s">
        <v>3237</v>
      </c>
      <c r="F149" s="334" t="s">
        <v>2964</v>
      </c>
      <c r="G149" s="334" t="s">
        <v>2954</v>
      </c>
      <c r="H149" s="334" t="s">
        <v>3231</v>
      </c>
      <c r="I149" s="334" t="s">
        <v>3080</v>
      </c>
      <c r="J149" s="334" t="s">
        <v>2958</v>
      </c>
      <c r="K149" s="334"/>
      <c r="L149" s="344"/>
      <c r="M149" s="334"/>
      <c r="N149" s="334"/>
      <c r="O149" s="345"/>
      <c r="P149" s="334"/>
      <c r="Q149" s="340"/>
      <c r="R149" s="349"/>
      <c r="S149" s="334"/>
      <c r="T149" s="334"/>
      <c r="U149" s="334"/>
      <c r="V149" s="334"/>
      <c r="W149" s="334"/>
      <c r="X149" s="334"/>
      <c r="Y149" s="334"/>
      <c r="Z149" s="334"/>
      <c r="AA149" s="334"/>
    </row>
    <row r="150" spans="1:27" ht="94.5" hidden="1">
      <c r="A150" s="334" t="s">
        <v>2950</v>
      </c>
      <c r="B150" s="335" t="s">
        <v>3164</v>
      </c>
      <c r="C150" s="334" t="s">
        <v>3218</v>
      </c>
      <c r="D150" s="334" t="s">
        <v>465</v>
      </c>
      <c r="E150" s="348" t="s">
        <v>3238</v>
      </c>
      <c r="F150" s="334"/>
      <c r="G150" s="334" t="s">
        <v>2954</v>
      </c>
      <c r="H150" s="334" t="s">
        <v>3231</v>
      </c>
      <c r="I150" s="334" t="s">
        <v>3080</v>
      </c>
      <c r="J150" s="334" t="s">
        <v>2958</v>
      </c>
      <c r="K150" s="334"/>
      <c r="L150" s="344"/>
      <c r="M150" s="334"/>
      <c r="N150" s="334"/>
      <c r="O150" s="345"/>
      <c r="P150" s="334"/>
      <c r="Q150" s="340"/>
      <c r="R150" s="349"/>
      <c r="S150" s="334"/>
      <c r="T150" s="334"/>
      <c r="U150" s="334"/>
      <c r="V150" s="334"/>
      <c r="W150" s="334"/>
      <c r="X150" s="334"/>
      <c r="Y150" s="334"/>
      <c r="Z150" s="334"/>
      <c r="AA150" s="334"/>
    </row>
    <row r="151" spans="1:27" ht="75.95" hidden="1" customHeight="1">
      <c r="A151" s="334" t="s">
        <v>2950</v>
      </c>
      <c r="B151" s="335" t="s">
        <v>3164</v>
      </c>
      <c r="C151" s="334" t="s">
        <v>3218</v>
      </c>
      <c r="D151" s="334" t="s">
        <v>467</v>
      </c>
      <c r="E151" s="334" t="s">
        <v>3239</v>
      </c>
      <c r="F151" s="352" t="s">
        <v>2961</v>
      </c>
      <c r="G151" s="334" t="s">
        <v>2954</v>
      </c>
      <c r="H151" s="334" t="s">
        <v>3240</v>
      </c>
      <c r="I151" s="334" t="s">
        <v>3080</v>
      </c>
      <c r="J151" s="334" t="s">
        <v>2958</v>
      </c>
      <c r="K151" s="334"/>
      <c r="L151" s="344"/>
      <c r="M151" s="334"/>
      <c r="N151" s="334"/>
      <c r="O151" s="345"/>
      <c r="P151" s="334"/>
      <c r="Q151" s="340"/>
      <c r="R151" s="349"/>
      <c r="S151" s="334"/>
      <c r="T151" s="334"/>
      <c r="U151" s="334"/>
      <c r="V151" s="334"/>
      <c r="W151" s="334"/>
      <c r="X151" s="334"/>
      <c r="Y151" s="334"/>
      <c r="Z151" s="334"/>
      <c r="AA151" s="334"/>
    </row>
    <row r="152" spans="1:27" ht="63" hidden="1" customHeight="1">
      <c r="A152" s="334" t="s">
        <v>2950</v>
      </c>
      <c r="B152" s="335" t="s">
        <v>3164</v>
      </c>
      <c r="C152" s="334" t="s">
        <v>3218</v>
      </c>
      <c r="D152" s="334" t="s">
        <v>470</v>
      </c>
      <c r="E152" s="334" t="s">
        <v>3241</v>
      </c>
      <c r="F152" s="352" t="s">
        <v>2993</v>
      </c>
      <c r="G152" s="334" t="s">
        <v>2967</v>
      </c>
      <c r="H152" s="334" t="s">
        <v>3242</v>
      </c>
      <c r="I152" s="334">
        <v>1</v>
      </c>
      <c r="J152" s="334"/>
      <c r="K152" s="334"/>
      <c r="L152" s="344"/>
      <c r="M152" s="334"/>
      <c r="N152" s="334"/>
      <c r="O152" s="345"/>
      <c r="P152" s="334"/>
      <c r="Q152" s="340"/>
      <c r="R152" s="349"/>
      <c r="S152" s="334"/>
      <c r="T152" s="334"/>
      <c r="U152" s="334"/>
      <c r="V152" s="334"/>
      <c r="W152" s="334"/>
      <c r="X152" s="334"/>
      <c r="Y152" s="334"/>
      <c r="Z152" s="334"/>
      <c r="AA152" s="334"/>
    </row>
    <row r="153" spans="1:27" ht="78.75" hidden="1">
      <c r="A153" s="334" t="s">
        <v>2950</v>
      </c>
      <c r="B153" s="335" t="s">
        <v>3164</v>
      </c>
      <c r="C153" s="334" t="s">
        <v>3243</v>
      </c>
      <c r="D153" s="334" t="s">
        <v>474</v>
      </c>
      <c r="E153" s="334" t="s">
        <v>3244</v>
      </c>
      <c r="F153" s="334" t="s">
        <v>2966</v>
      </c>
      <c r="G153" s="334" t="s">
        <v>2957</v>
      </c>
      <c r="H153" s="334" t="s">
        <v>3245</v>
      </c>
      <c r="I153" s="334" t="s">
        <v>3080</v>
      </c>
      <c r="J153" s="334" t="s">
        <v>2974</v>
      </c>
      <c r="K153" s="334"/>
      <c r="L153" s="344"/>
      <c r="M153" s="334"/>
      <c r="N153" s="334"/>
      <c r="O153" s="345"/>
      <c r="P153" s="334"/>
      <c r="Q153" s="340"/>
      <c r="R153" s="349"/>
      <c r="S153" s="334"/>
      <c r="T153" s="334"/>
      <c r="U153" s="334"/>
      <c r="V153" s="334"/>
      <c r="W153" s="334"/>
      <c r="X153" s="334"/>
      <c r="Y153" s="334"/>
      <c r="Z153" s="334"/>
      <c r="AA153" s="334"/>
    </row>
    <row r="154" spans="1:27" ht="110.25" hidden="1">
      <c r="A154" s="334" t="s">
        <v>2950</v>
      </c>
      <c r="B154" s="335" t="s">
        <v>3164</v>
      </c>
      <c r="C154" s="334" t="s">
        <v>3243</v>
      </c>
      <c r="D154" s="334" t="s">
        <v>477</v>
      </c>
      <c r="E154" s="334" t="s">
        <v>3246</v>
      </c>
      <c r="F154" s="334" t="s">
        <v>2966</v>
      </c>
      <c r="G154" s="334" t="s">
        <v>2957</v>
      </c>
      <c r="H154" s="334" t="s">
        <v>3247</v>
      </c>
      <c r="I154" s="334" t="s">
        <v>3080</v>
      </c>
      <c r="J154" s="334" t="s">
        <v>2974</v>
      </c>
      <c r="K154" s="334"/>
      <c r="L154" s="344"/>
      <c r="M154" s="334"/>
      <c r="N154" s="334"/>
      <c r="O154" s="345"/>
      <c r="P154" s="334"/>
      <c r="Q154" s="340"/>
      <c r="R154" s="349"/>
      <c r="S154" s="334"/>
      <c r="T154" s="334"/>
      <c r="U154" s="334"/>
      <c r="V154" s="334"/>
      <c r="W154" s="334"/>
      <c r="X154" s="334"/>
      <c r="Y154" s="334"/>
      <c r="Z154" s="334"/>
      <c r="AA154" s="334"/>
    </row>
    <row r="155" spans="1:27" ht="20.25" hidden="1" customHeight="1">
      <c r="A155" s="468" t="s">
        <v>3248</v>
      </c>
      <c r="B155" s="469"/>
      <c r="C155" s="470"/>
      <c r="D155" s="470"/>
      <c r="E155" s="470"/>
      <c r="F155" s="470"/>
      <c r="G155" s="470"/>
      <c r="H155" s="470"/>
      <c r="I155" s="470"/>
      <c r="J155" s="470"/>
      <c r="K155" s="470"/>
      <c r="L155" s="470"/>
      <c r="M155" s="470"/>
      <c r="N155" s="470"/>
      <c r="O155" s="470"/>
      <c r="P155" s="471"/>
      <c r="Q155" s="472"/>
      <c r="R155" s="473"/>
      <c r="S155" s="474"/>
      <c r="T155" s="474"/>
      <c r="U155" s="474"/>
      <c r="V155" s="474"/>
      <c r="W155" s="474"/>
      <c r="X155" s="474"/>
      <c r="Y155" s="474"/>
      <c r="Z155" s="474"/>
      <c r="AA155" s="474"/>
    </row>
    <row r="156" spans="1:27" ht="97.5" hidden="1" customHeight="1">
      <c r="A156" s="334" t="s">
        <v>3249</v>
      </c>
      <c r="B156" s="335" t="s">
        <v>2951</v>
      </c>
      <c r="C156" s="334" t="s">
        <v>3250</v>
      </c>
      <c r="D156" s="334" t="s">
        <v>482</v>
      </c>
      <c r="E156" s="334" t="s">
        <v>3251</v>
      </c>
      <c r="F156" s="334" t="s">
        <v>2964</v>
      </c>
      <c r="G156" s="334" t="s">
        <v>2957</v>
      </c>
      <c r="H156" s="334" t="s">
        <v>3252</v>
      </c>
      <c r="I156" s="334" t="s">
        <v>3253</v>
      </c>
      <c r="J156" s="334" t="s">
        <v>2974</v>
      </c>
      <c r="K156" s="334"/>
      <c r="L156" s="344"/>
      <c r="M156" s="334"/>
      <c r="N156" s="334"/>
      <c r="O156" s="345"/>
      <c r="P156" s="334"/>
      <c r="Q156" s="340"/>
      <c r="R156" s="349"/>
      <c r="S156" s="334"/>
      <c r="T156" s="334"/>
      <c r="U156" s="334"/>
      <c r="V156" s="334"/>
      <c r="W156" s="334"/>
      <c r="X156" s="334"/>
      <c r="Y156" s="334"/>
      <c r="Z156" s="334"/>
      <c r="AA156" s="334"/>
    </row>
    <row r="157" spans="1:27" ht="72" hidden="1" customHeight="1">
      <c r="A157" s="334" t="s">
        <v>3249</v>
      </c>
      <c r="B157" s="335" t="s">
        <v>2951</v>
      </c>
      <c r="C157" s="334" t="s">
        <v>3254</v>
      </c>
      <c r="D157" s="334" t="s">
        <v>487</v>
      </c>
      <c r="E157" s="334" t="s">
        <v>3255</v>
      </c>
      <c r="F157" s="442"/>
      <c r="G157" s="442" t="s">
        <v>2957</v>
      </c>
      <c r="H157" s="442"/>
      <c r="I157" s="443"/>
      <c r="J157" s="442"/>
      <c r="K157" s="442"/>
      <c r="L157" s="444"/>
      <c r="M157" s="442"/>
      <c r="N157" s="442"/>
      <c r="O157" s="445"/>
      <c r="P157" s="442"/>
      <c r="Q157" s="340"/>
      <c r="R157" s="446"/>
      <c r="S157" s="442"/>
      <c r="T157" s="442"/>
      <c r="U157" s="442"/>
      <c r="V157" s="442"/>
      <c r="W157" s="442"/>
      <c r="X157" s="442"/>
      <c r="Y157" s="442"/>
      <c r="Z157" s="442"/>
      <c r="AA157" s="442"/>
    </row>
    <row r="158" spans="1:27" ht="66" hidden="1" customHeight="1">
      <c r="A158" s="334" t="s">
        <v>3249</v>
      </c>
      <c r="B158" s="335" t="s">
        <v>2951</v>
      </c>
      <c r="C158" s="334" t="s">
        <v>3254</v>
      </c>
      <c r="D158" s="334" t="s">
        <v>491</v>
      </c>
      <c r="E158" s="348" t="s">
        <v>3256</v>
      </c>
      <c r="F158" s="334" t="s">
        <v>2961</v>
      </c>
      <c r="G158" s="334" t="s">
        <v>2957</v>
      </c>
      <c r="H158" s="334" t="s">
        <v>2980</v>
      </c>
      <c r="I158" s="334" t="s">
        <v>2981</v>
      </c>
      <c r="J158" s="334" t="s">
        <v>2974</v>
      </c>
      <c r="K158" s="334"/>
      <c r="L158" s="344"/>
      <c r="M158" s="334"/>
      <c r="N158" s="334"/>
      <c r="O158" s="345"/>
      <c r="P158" s="334"/>
      <c r="Q158" s="340"/>
      <c r="R158" s="349"/>
      <c r="S158" s="334"/>
      <c r="T158" s="334"/>
      <c r="U158" s="334"/>
      <c r="V158" s="334"/>
      <c r="W158" s="334"/>
      <c r="X158" s="334"/>
      <c r="Y158" s="334"/>
      <c r="Z158" s="334"/>
      <c r="AA158" s="334"/>
    </row>
    <row r="159" spans="1:27" ht="126" hidden="1">
      <c r="A159" s="334" t="s">
        <v>3249</v>
      </c>
      <c r="B159" s="335" t="s">
        <v>2951</v>
      </c>
      <c r="C159" s="334" t="s">
        <v>3254</v>
      </c>
      <c r="D159" s="334" t="s">
        <v>495</v>
      </c>
      <c r="E159" s="348" t="s">
        <v>3257</v>
      </c>
      <c r="F159" s="334" t="s">
        <v>2993</v>
      </c>
      <c r="G159" s="334" t="s">
        <v>2957</v>
      </c>
      <c r="H159" s="334" t="s">
        <v>2980</v>
      </c>
      <c r="I159" s="334" t="s">
        <v>2981</v>
      </c>
      <c r="J159" s="334" t="s">
        <v>2974</v>
      </c>
      <c r="K159" s="334"/>
      <c r="L159" s="344"/>
      <c r="M159" s="334"/>
      <c r="N159" s="334"/>
      <c r="O159" s="345"/>
      <c r="P159" s="334"/>
      <c r="Q159" s="340"/>
      <c r="R159" s="349"/>
      <c r="S159" s="334"/>
      <c r="T159" s="334"/>
      <c r="U159" s="334"/>
      <c r="V159" s="334"/>
      <c r="W159" s="334"/>
      <c r="X159" s="334"/>
      <c r="Y159" s="334"/>
      <c r="Z159" s="334"/>
      <c r="AA159" s="334"/>
    </row>
    <row r="160" spans="1:27" ht="126" hidden="1">
      <c r="A160" s="334" t="s">
        <v>3249</v>
      </c>
      <c r="B160" s="335" t="s">
        <v>2951</v>
      </c>
      <c r="C160" s="334" t="s">
        <v>3254</v>
      </c>
      <c r="D160" s="334" t="s">
        <v>497</v>
      </c>
      <c r="E160" s="348" t="s">
        <v>3258</v>
      </c>
      <c r="F160" s="334" t="s">
        <v>2966</v>
      </c>
      <c r="G160" s="334" t="s">
        <v>2957</v>
      </c>
      <c r="H160" s="334" t="s">
        <v>2980</v>
      </c>
      <c r="I160" s="334" t="s">
        <v>2981</v>
      </c>
      <c r="J160" s="334" t="s">
        <v>2974</v>
      </c>
      <c r="K160" s="334"/>
      <c r="L160" s="344"/>
      <c r="M160" s="334"/>
      <c r="N160" s="334"/>
      <c r="O160" s="345"/>
      <c r="P160" s="334"/>
      <c r="Q160" s="340"/>
      <c r="R160" s="349"/>
      <c r="S160" s="334"/>
      <c r="T160" s="334"/>
      <c r="U160" s="334"/>
      <c r="V160" s="334"/>
      <c r="W160" s="334"/>
      <c r="X160" s="334"/>
      <c r="Y160" s="334"/>
      <c r="Z160" s="334"/>
      <c r="AA160" s="334"/>
    </row>
    <row r="161" spans="1:27" ht="72.599999999999994" hidden="1" customHeight="1">
      <c r="A161" s="334" t="s">
        <v>3249</v>
      </c>
      <c r="B161" s="335" t="s">
        <v>2951</v>
      </c>
      <c r="C161" s="334" t="s">
        <v>3254</v>
      </c>
      <c r="D161" s="334" t="s">
        <v>499</v>
      </c>
      <c r="E161" s="348" t="s">
        <v>3259</v>
      </c>
      <c r="F161" s="334" t="s">
        <v>2961</v>
      </c>
      <c r="G161" s="334" t="s">
        <v>2957</v>
      </c>
      <c r="H161" s="334" t="s">
        <v>2980</v>
      </c>
      <c r="I161" s="334" t="s">
        <v>2981</v>
      </c>
      <c r="J161" s="352" t="s">
        <v>2974</v>
      </c>
      <c r="K161" s="334"/>
      <c r="L161" s="344"/>
      <c r="M161" s="334"/>
      <c r="N161" s="334"/>
      <c r="O161" s="345"/>
      <c r="P161" s="334"/>
      <c r="Q161" s="340"/>
      <c r="R161" s="349"/>
      <c r="S161" s="334"/>
      <c r="T161" s="334"/>
      <c r="U161" s="334"/>
      <c r="V161" s="334"/>
      <c r="W161" s="334"/>
      <c r="X161" s="334"/>
      <c r="Y161" s="334"/>
      <c r="Z161" s="334"/>
      <c r="AA161" s="334"/>
    </row>
    <row r="162" spans="1:27" ht="52.5" hidden="1" customHeight="1">
      <c r="A162" s="334" t="s">
        <v>3249</v>
      </c>
      <c r="B162" s="335" t="s">
        <v>2951</v>
      </c>
      <c r="C162" s="334" t="s">
        <v>3254</v>
      </c>
      <c r="D162" s="334" t="s">
        <v>501</v>
      </c>
      <c r="E162" s="348" t="s">
        <v>3260</v>
      </c>
      <c r="F162" s="334" t="s">
        <v>2966</v>
      </c>
      <c r="G162" s="334" t="s">
        <v>2957</v>
      </c>
      <c r="H162" s="334" t="s">
        <v>2980</v>
      </c>
      <c r="I162" s="352" t="s">
        <v>2981</v>
      </c>
      <c r="J162" s="352" t="s">
        <v>2974</v>
      </c>
      <c r="K162" s="334"/>
      <c r="L162" s="344"/>
      <c r="M162" s="334"/>
      <c r="N162" s="334"/>
      <c r="O162" s="345"/>
      <c r="P162" s="334"/>
      <c r="Q162" s="340"/>
      <c r="R162" s="349"/>
      <c r="S162" s="334"/>
      <c r="T162" s="334"/>
      <c r="U162" s="334"/>
      <c r="V162" s="334"/>
      <c r="W162" s="334"/>
      <c r="X162" s="334"/>
      <c r="Y162" s="334"/>
      <c r="Z162" s="334"/>
      <c r="AA162" s="334"/>
    </row>
    <row r="163" spans="1:27" ht="62.1" hidden="1" customHeight="1">
      <c r="A163" s="334" t="s">
        <v>3249</v>
      </c>
      <c r="B163" s="335" t="s">
        <v>2951</v>
      </c>
      <c r="C163" s="334" t="s">
        <v>3254</v>
      </c>
      <c r="D163" s="334" t="s">
        <v>503</v>
      </c>
      <c r="E163" s="348" t="s">
        <v>3261</v>
      </c>
      <c r="F163" s="334" t="s">
        <v>2993</v>
      </c>
      <c r="G163" s="334" t="s">
        <v>2957</v>
      </c>
      <c r="H163" s="334" t="s">
        <v>2980</v>
      </c>
      <c r="I163" s="352" t="s">
        <v>2981</v>
      </c>
      <c r="J163" s="352" t="s">
        <v>2974</v>
      </c>
      <c r="K163" s="334"/>
      <c r="L163" s="344"/>
      <c r="M163" s="334"/>
      <c r="N163" s="334"/>
      <c r="O163" s="345"/>
      <c r="P163" s="334"/>
      <c r="Q163" s="340"/>
      <c r="R163" s="349"/>
      <c r="S163" s="334"/>
      <c r="T163" s="334"/>
      <c r="U163" s="334"/>
      <c r="V163" s="334"/>
      <c r="W163" s="334"/>
      <c r="X163" s="334"/>
      <c r="Y163" s="334"/>
      <c r="Z163" s="334"/>
      <c r="AA163" s="334"/>
    </row>
    <row r="164" spans="1:27" ht="67.5" hidden="1" customHeight="1">
      <c r="A164" s="334" t="s">
        <v>3249</v>
      </c>
      <c r="B164" s="335" t="s">
        <v>2951</v>
      </c>
      <c r="C164" s="334" t="s">
        <v>3254</v>
      </c>
      <c r="D164" s="334" t="s">
        <v>505</v>
      </c>
      <c r="E164" s="348" t="s">
        <v>3262</v>
      </c>
      <c r="F164" s="334" t="s">
        <v>2964</v>
      </c>
      <c r="G164" s="334" t="s">
        <v>2957</v>
      </c>
      <c r="H164" s="334" t="s">
        <v>3263</v>
      </c>
      <c r="I164" s="352" t="s">
        <v>3264</v>
      </c>
      <c r="J164" s="352" t="s">
        <v>3000</v>
      </c>
      <c r="K164" s="334"/>
      <c r="L164" s="344"/>
      <c r="M164" s="334"/>
      <c r="N164" s="334"/>
      <c r="O164" s="345"/>
      <c r="P164" s="334"/>
      <c r="Q164" s="340"/>
      <c r="R164" s="349"/>
      <c r="S164" s="334"/>
      <c r="T164" s="334"/>
      <c r="U164" s="334"/>
      <c r="V164" s="334"/>
      <c r="W164" s="334"/>
      <c r="X164" s="334"/>
      <c r="Y164" s="334"/>
      <c r="Z164" s="334"/>
      <c r="AA164" s="334"/>
    </row>
    <row r="165" spans="1:27" ht="71.45" hidden="1" customHeight="1">
      <c r="A165" s="334" t="s">
        <v>3249</v>
      </c>
      <c r="B165" s="335" t="s">
        <v>2951</v>
      </c>
      <c r="C165" s="334" t="s">
        <v>3254</v>
      </c>
      <c r="D165" s="334" t="s">
        <v>507</v>
      </c>
      <c r="E165" s="348" t="s">
        <v>3265</v>
      </c>
      <c r="F165" s="334" t="s">
        <v>3266</v>
      </c>
      <c r="G165" s="334" t="s">
        <v>2957</v>
      </c>
      <c r="H165" s="334" t="s">
        <v>3263</v>
      </c>
      <c r="I165" s="352" t="s">
        <v>3264</v>
      </c>
      <c r="J165" s="352" t="s">
        <v>2974</v>
      </c>
      <c r="K165" s="334"/>
      <c r="L165" s="344"/>
      <c r="M165" s="334"/>
      <c r="N165" s="334"/>
      <c r="O165" s="345"/>
      <c r="P165" s="334"/>
      <c r="Q165" s="340"/>
      <c r="R165" s="349"/>
      <c r="S165" s="334"/>
      <c r="T165" s="334"/>
      <c r="U165" s="334"/>
      <c r="V165" s="334"/>
      <c r="W165" s="334"/>
      <c r="X165" s="334"/>
      <c r="Y165" s="334"/>
      <c r="Z165" s="334"/>
      <c r="AA165" s="334"/>
    </row>
    <row r="166" spans="1:27" ht="73.5" hidden="1" customHeight="1">
      <c r="A166" s="334" t="s">
        <v>3249</v>
      </c>
      <c r="B166" s="335" t="s">
        <v>2951</v>
      </c>
      <c r="C166" s="334" t="s">
        <v>3254</v>
      </c>
      <c r="D166" s="334" t="s">
        <v>509</v>
      </c>
      <c r="E166" s="348" t="s">
        <v>3267</v>
      </c>
      <c r="F166" s="334" t="s">
        <v>2993</v>
      </c>
      <c r="G166" s="334" t="s">
        <v>2957</v>
      </c>
      <c r="H166" s="334" t="s">
        <v>3263</v>
      </c>
      <c r="I166" s="352" t="s">
        <v>3264</v>
      </c>
      <c r="J166" s="352" t="s">
        <v>2974</v>
      </c>
      <c r="K166" s="334"/>
      <c r="L166" s="344"/>
      <c r="M166" s="334"/>
      <c r="N166" s="334"/>
      <c r="O166" s="345"/>
      <c r="P166" s="334"/>
      <c r="Q166" s="340"/>
      <c r="R166" s="349"/>
      <c r="S166" s="334"/>
      <c r="T166" s="334"/>
      <c r="U166" s="334"/>
      <c r="V166" s="334"/>
      <c r="W166" s="334"/>
      <c r="X166" s="334"/>
      <c r="Y166" s="334"/>
      <c r="Z166" s="334"/>
      <c r="AA166" s="334"/>
    </row>
    <row r="167" spans="1:27" ht="72" hidden="1" customHeight="1">
      <c r="A167" s="334" t="s">
        <v>3249</v>
      </c>
      <c r="B167" s="335" t="s">
        <v>2951</v>
      </c>
      <c r="C167" s="334" t="s">
        <v>3254</v>
      </c>
      <c r="D167" s="334" t="s">
        <v>511</v>
      </c>
      <c r="E167" s="348" t="s">
        <v>3268</v>
      </c>
      <c r="F167" s="334" t="s">
        <v>2964</v>
      </c>
      <c r="G167" s="334" t="s">
        <v>2957</v>
      </c>
      <c r="H167" s="334" t="s">
        <v>3263</v>
      </c>
      <c r="I167" s="352" t="s">
        <v>3264</v>
      </c>
      <c r="J167" s="352" t="s">
        <v>2974</v>
      </c>
      <c r="K167" s="334"/>
      <c r="L167" s="344"/>
      <c r="M167" s="334"/>
      <c r="N167" s="334"/>
      <c r="O167" s="345"/>
      <c r="P167" s="334"/>
      <c r="Q167" s="340"/>
      <c r="R167" s="349"/>
      <c r="S167" s="334"/>
      <c r="T167" s="334"/>
      <c r="U167" s="334"/>
      <c r="V167" s="334"/>
      <c r="W167" s="334"/>
      <c r="X167" s="334"/>
      <c r="Y167" s="334"/>
      <c r="Z167" s="334"/>
      <c r="AA167" s="334"/>
    </row>
    <row r="168" spans="1:27" ht="94.5" hidden="1">
      <c r="A168" s="368" t="s">
        <v>3249</v>
      </c>
      <c r="B168" s="369" t="s">
        <v>2951</v>
      </c>
      <c r="C168" s="368" t="s">
        <v>3254</v>
      </c>
      <c r="D168" s="368" t="s">
        <v>513</v>
      </c>
      <c r="E168" s="370" t="s">
        <v>3269</v>
      </c>
      <c r="F168" s="334" t="s">
        <v>2964</v>
      </c>
      <c r="G168" s="368" t="s">
        <v>2957</v>
      </c>
      <c r="H168" s="334" t="s">
        <v>3263</v>
      </c>
      <c r="I168" s="352" t="s">
        <v>3264</v>
      </c>
      <c r="J168" s="475" t="s">
        <v>3000</v>
      </c>
      <c r="K168" s="368"/>
      <c r="L168" s="372"/>
      <c r="M168" s="368"/>
      <c r="N168" s="368"/>
      <c r="O168" s="373"/>
      <c r="P168" s="368"/>
      <c r="Q168" s="340"/>
      <c r="R168" s="374"/>
      <c r="S168" s="368"/>
      <c r="T168" s="368"/>
      <c r="U168" s="368"/>
      <c r="V168" s="368"/>
      <c r="W168" s="368"/>
      <c r="X168" s="368"/>
      <c r="Y168" s="368"/>
      <c r="Z168" s="368"/>
      <c r="AA168" s="368"/>
    </row>
    <row r="169" spans="1:27" ht="110.25" hidden="1">
      <c r="A169" s="368" t="s">
        <v>3249</v>
      </c>
      <c r="B169" s="369" t="s">
        <v>2951</v>
      </c>
      <c r="C169" s="368" t="s">
        <v>3254</v>
      </c>
      <c r="D169" s="374" t="s">
        <v>515</v>
      </c>
      <c r="E169" s="370" t="s">
        <v>3270</v>
      </c>
      <c r="F169" s="334" t="s">
        <v>2964</v>
      </c>
      <c r="G169" s="368" t="s">
        <v>2957</v>
      </c>
      <c r="H169" s="334" t="s">
        <v>3263</v>
      </c>
      <c r="I169" s="352" t="s">
        <v>3264</v>
      </c>
      <c r="J169" s="475" t="s">
        <v>2974</v>
      </c>
      <c r="K169" s="368"/>
      <c r="L169" s="372"/>
      <c r="M169" s="368"/>
      <c r="N169" s="368"/>
      <c r="O169" s="373"/>
      <c r="P169" s="368"/>
      <c r="Q169" s="327"/>
      <c r="R169" s="334"/>
      <c r="S169" s="334"/>
      <c r="T169" s="334"/>
      <c r="U169" s="334"/>
      <c r="V169" s="334"/>
      <c r="W169" s="334"/>
      <c r="X169" s="334"/>
      <c r="Y169" s="334"/>
      <c r="Z169" s="334"/>
      <c r="AA169" s="334"/>
    </row>
    <row r="170" spans="1:27" ht="48.95" hidden="1" customHeight="1">
      <c r="A170" s="334" t="s">
        <v>3249</v>
      </c>
      <c r="B170" s="335" t="s">
        <v>2951</v>
      </c>
      <c r="C170" s="334" t="s">
        <v>3254</v>
      </c>
      <c r="D170" s="349" t="s">
        <v>517</v>
      </c>
      <c r="E170" s="334" t="s">
        <v>3271</v>
      </c>
      <c r="F170" s="334" t="s">
        <v>3272</v>
      </c>
      <c r="G170" s="334" t="s">
        <v>2957</v>
      </c>
      <c r="H170" s="334" t="s">
        <v>3273</v>
      </c>
      <c r="I170" s="343">
        <v>1</v>
      </c>
      <c r="J170" s="334" t="s">
        <v>3000</v>
      </c>
      <c r="K170" s="334"/>
      <c r="L170" s="344"/>
      <c r="M170" s="334"/>
      <c r="N170" s="334"/>
      <c r="O170" s="345"/>
      <c r="P170" s="334"/>
      <c r="Q170" s="340"/>
      <c r="R170" s="388"/>
      <c r="S170" s="376"/>
      <c r="T170" s="376"/>
      <c r="U170" s="376"/>
      <c r="V170" s="376"/>
      <c r="W170" s="376"/>
      <c r="X170" s="376"/>
      <c r="Y170" s="376"/>
      <c r="Z170" s="376"/>
      <c r="AA170" s="376"/>
    </row>
    <row r="171" spans="1:27" ht="63.95" hidden="1" customHeight="1">
      <c r="A171" s="376" t="s">
        <v>3249</v>
      </c>
      <c r="B171" s="377" t="s">
        <v>2951</v>
      </c>
      <c r="C171" s="376" t="s">
        <v>3254</v>
      </c>
      <c r="D171" s="376" t="s">
        <v>520</v>
      </c>
      <c r="E171" s="376" t="s">
        <v>3274</v>
      </c>
      <c r="F171" s="334" t="s">
        <v>2964</v>
      </c>
      <c r="G171" s="376" t="s">
        <v>2957</v>
      </c>
      <c r="H171" s="376" t="s">
        <v>3275</v>
      </c>
      <c r="I171" s="378">
        <v>1</v>
      </c>
      <c r="J171" s="476" t="s">
        <v>3000</v>
      </c>
      <c r="K171" s="376"/>
      <c r="L171" s="379"/>
      <c r="M171" s="376"/>
      <c r="N171" s="376"/>
      <c r="O171" s="380"/>
      <c r="P171" s="376"/>
      <c r="Q171" s="340"/>
      <c r="R171" s="349"/>
      <c r="S171" s="334"/>
      <c r="T171" s="334"/>
      <c r="U171" s="334"/>
      <c r="V171" s="334"/>
      <c r="W171" s="334"/>
      <c r="X171" s="334"/>
      <c r="Y171" s="334"/>
      <c r="Z171" s="334"/>
      <c r="AA171" s="334"/>
    </row>
    <row r="172" spans="1:27" ht="104.25" hidden="1" customHeight="1">
      <c r="A172" s="334" t="s">
        <v>3249</v>
      </c>
      <c r="B172" s="335" t="s">
        <v>2951</v>
      </c>
      <c r="C172" s="334" t="s">
        <v>3254</v>
      </c>
      <c r="D172" s="334" t="s">
        <v>523</v>
      </c>
      <c r="E172" s="334" t="s">
        <v>3276</v>
      </c>
      <c r="F172" s="334" t="s">
        <v>2964</v>
      </c>
      <c r="G172" s="334" t="s">
        <v>2957</v>
      </c>
      <c r="H172" s="334" t="s">
        <v>3277</v>
      </c>
      <c r="I172" s="334" t="s">
        <v>3278</v>
      </c>
      <c r="J172" s="352" t="s">
        <v>3000</v>
      </c>
      <c r="K172" s="334"/>
      <c r="L172" s="344"/>
      <c r="M172" s="334"/>
      <c r="N172" s="334"/>
      <c r="O172" s="345"/>
      <c r="P172" s="334"/>
      <c r="Q172" s="340"/>
      <c r="R172" s="349"/>
      <c r="S172" s="334"/>
      <c r="T172" s="334"/>
      <c r="U172" s="334"/>
      <c r="V172" s="334"/>
      <c r="W172" s="334"/>
      <c r="X172" s="334"/>
      <c r="Y172" s="334"/>
      <c r="Z172" s="334"/>
      <c r="AA172" s="334"/>
    </row>
    <row r="173" spans="1:27" ht="47.25" hidden="1">
      <c r="A173" s="334" t="s">
        <v>3249</v>
      </c>
      <c r="B173" s="335" t="s">
        <v>2951</v>
      </c>
      <c r="C173" s="334" t="s">
        <v>3279</v>
      </c>
      <c r="D173" s="334" t="s">
        <v>528</v>
      </c>
      <c r="E173" s="334" t="s">
        <v>3280</v>
      </c>
      <c r="F173" s="334" t="s">
        <v>2961</v>
      </c>
      <c r="G173" s="334" t="s">
        <v>2957</v>
      </c>
      <c r="H173" s="334" t="s">
        <v>3281</v>
      </c>
      <c r="I173" s="334" t="s">
        <v>3023</v>
      </c>
      <c r="J173" s="352" t="s">
        <v>3000</v>
      </c>
      <c r="K173" s="334"/>
      <c r="L173" s="344"/>
      <c r="M173" s="334"/>
      <c r="N173" s="334"/>
      <c r="O173" s="345"/>
      <c r="P173" s="334"/>
      <c r="Q173" s="340"/>
      <c r="R173" s="349"/>
      <c r="S173" s="334"/>
      <c r="T173" s="334"/>
      <c r="U173" s="334"/>
      <c r="V173" s="334"/>
      <c r="W173" s="334"/>
      <c r="X173" s="334"/>
      <c r="Y173" s="334"/>
      <c r="Z173" s="334"/>
      <c r="AA173" s="334"/>
    </row>
    <row r="174" spans="1:27" ht="78.75" hidden="1">
      <c r="A174" s="334" t="s">
        <v>3249</v>
      </c>
      <c r="B174" s="335" t="s">
        <v>195</v>
      </c>
      <c r="C174" s="334" t="s">
        <v>3282</v>
      </c>
      <c r="D174" s="334" t="s">
        <v>532</v>
      </c>
      <c r="E174" s="334" t="s">
        <v>3283</v>
      </c>
      <c r="F174" s="334" t="s">
        <v>2993</v>
      </c>
      <c r="G174" s="334" t="s">
        <v>2957</v>
      </c>
      <c r="H174" s="334" t="s">
        <v>3284</v>
      </c>
      <c r="I174" s="343">
        <v>1</v>
      </c>
      <c r="J174" s="334" t="s">
        <v>3000</v>
      </c>
      <c r="K174" s="334"/>
      <c r="L174" s="344"/>
      <c r="M174" s="334"/>
      <c r="N174" s="334"/>
      <c r="O174" s="345"/>
      <c r="P174" s="334"/>
      <c r="Q174" s="340"/>
      <c r="R174" s="349"/>
      <c r="S174" s="334"/>
      <c r="T174" s="334"/>
      <c r="U174" s="334"/>
      <c r="V174" s="334"/>
      <c r="W174" s="334"/>
      <c r="X174" s="334"/>
      <c r="Y174" s="334"/>
      <c r="Z174" s="334"/>
      <c r="AA174" s="334"/>
    </row>
    <row r="175" spans="1:27" ht="94.5" hidden="1">
      <c r="A175" s="334" t="s">
        <v>3249</v>
      </c>
      <c r="B175" s="335" t="s">
        <v>195</v>
      </c>
      <c r="C175" s="334" t="s">
        <v>3282</v>
      </c>
      <c r="D175" s="334" t="s">
        <v>535</v>
      </c>
      <c r="E175" s="334" t="s">
        <v>3285</v>
      </c>
      <c r="F175" s="334" t="s">
        <v>2993</v>
      </c>
      <c r="G175" s="334" t="s">
        <v>2957</v>
      </c>
      <c r="H175" s="334" t="s">
        <v>3286</v>
      </c>
      <c r="I175" s="334" t="s">
        <v>3287</v>
      </c>
      <c r="J175" s="334" t="s">
        <v>3000</v>
      </c>
      <c r="K175" s="334"/>
      <c r="L175" s="344"/>
      <c r="M175" s="334"/>
      <c r="N175" s="334"/>
      <c r="O175" s="345"/>
      <c r="P175" s="334"/>
      <c r="Q175" s="340"/>
      <c r="R175" s="349"/>
      <c r="S175" s="334"/>
      <c r="T175" s="334"/>
      <c r="U175" s="334"/>
      <c r="V175" s="334"/>
      <c r="W175" s="334"/>
      <c r="X175" s="334"/>
      <c r="Y175" s="334"/>
      <c r="Z175" s="334"/>
      <c r="AA175" s="334"/>
    </row>
    <row r="176" spans="1:27" ht="63" hidden="1">
      <c r="A176" s="334" t="s">
        <v>3249</v>
      </c>
      <c r="B176" s="335" t="s">
        <v>195</v>
      </c>
      <c r="C176" s="334" t="s">
        <v>539</v>
      </c>
      <c r="D176" s="334" t="s">
        <v>540</v>
      </c>
      <c r="E176" s="334" t="s">
        <v>3288</v>
      </c>
      <c r="F176" s="334" t="s">
        <v>2964</v>
      </c>
      <c r="G176" s="334" t="s">
        <v>2957</v>
      </c>
      <c r="H176" s="334" t="s">
        <v>3289</v>
      </c>
      <c r="I176" s="343">
        <v>1</v>
      </c>
      <c r="J176" s="334" t="s">
        <v>3000</v>
      </c>
      <c r="K176" s="334"/>
      <c r="L176" s="344"/>
      <c r="M176" s="334"/>
      <c r="N176" s="334"/>
      <c r="O176" s="345"/>
      <c r="P176" s="334"/>
      <c r="Q176" s="340"/>
      <c r="R176" s="349"/>
      <c r="S176" s="334"/>
      <c r="T176" s="334"/>
      <c r="U176" s="334"/>
      <c r="V176" s="334"/>
      <c r="W176" s="334"/>
      <c r="X176" s="334"/>
      <c r="Y176" s="334"/>
      <c r="Z176" s="334"/>
      <c r="AA176" s="334"/>
    </row>
    <row r="177" spans="1:51" ht="94.5" hidden="1">
      <c r="A177" s="334" t="s">
        <v>3249</v>
      </c>
      <c r="B177" s="335" t="s">
        <v>195</v>
      </c>
      <c r="C177" s="334" t="s">
        <v>3290</v>
      </c>
      <c r="D177" s="334" t="s">
        <v>544</v>
      </c>
      <c r="E177" s="334" t="s">
        <v>3291</v>
      </c>
      <c r="F177" s="442"/>
      <c r="G177" s="442" t="s">
        <v>2957</v>
      </c>
      <c r="H177" s="442"/>
      <c r="I177" s="443"/>
      <c r="J177" s="442"/>
      <c r="K177" s="442"/>
      <c r="L177" s="444"/>
      <c r="M177" s="442"/>
      <c r="N177" s="442"/>
      <c r="O177" s="445"/>
      <c r="P177" s="442"/>
      <c r="Q177" s="340"/>
      <c r="R177" s="446"/>
      <c r="S177" s="442"/>
      <c r="T177" s="442"/>
      <c r="U177" s="442"/>
      <c r="V177" s="442"/>
      <c r="W177" s="442"/>
      <c r="X177" s="442"/>
      <c r="Y177" s="442"/>
      <c r="Z177" s="442"/>
      <c r="AA177" s="442"/>
    </row>
    <row r="178" spans="1:51" ht="78.75" hidden="1">
      <c r="A178" s="334" t="s">
        <v>3249</v>
      </c>
      <c r="B178" s="335" t="s">
        <v>195</v>
      </c>
      <c r="C178" s="334" t="s">
        <v>3290</v>
      </c>
      <c r="D178" s="334" t="s">
        <v>545</v>
      </c>
      <c r="E178" s="348" t="s">
        <v>3292</v>
      </c>
      <c r="F178" s="334" t="s">
        <v>2964</v>
      </c>
      <c r="G178" s="334" t="s">
        <v>2957</v>
      </c>
      <c r="H178" s="334" t="s">
        <v>3293</v>
      </c>
      <c r="I178" s="343">
        <v>1</v>
      </c>
      <c r="J178" s="334" t="s">
        <v>3000</v>
      </c>
      <c r="K178" s="334"/>
      <c r="L178" s="344"/>
      <c r="M178" s="334"/>
      <c r="N178" s="334"/>
      <c r="O178" s="345"/>
      <c r="P178" s="334"/>
      <c r="Q178" s="340"/>
      <c r="R178" s="349"/>
      <c r="S178" s="334"/>
      <c r="T178" s="334"/>
      <c r="U178" s="334"/>
      <c r="V178" s="334"/>
      <c r="W178" s="334"/>
      <c r="X178" s="334"/>
      <c r="Y178" s="334"/>
      <c r="Z178" s="334"/>
      <c r="AA178" s="334"/>
    </row>
    <row r="179" spans="1:51" ht="47.25" hidden="1">
      <c r="A179" s="334" t="s">
        <v>3249</v>
      </c>
      <c r="B179" s="335" t="s">
        <v>195</v>
      </c>
      <c r="C179" s="334" t="s">
        <v>3290</v>
      </c>
      <c r="D179" s="334" t="s">
        <v>547</v>
      </c>
      <c r="E179" s="348" t="s">
        <v>3294</v>
      </c>
      <c r="F179" s="352" t="s">
        <v>2956</v>
      </c>
      <c r="G179" s="334" t="s">
        <v>2954</v>
      </c>
      <c r="H179" s="334" t="s">
        <v>3295</v>
      </c>
      <c r="I179" s="334" t="s">
        <v>3080</v>
      </c>
      <c r="J179" s="352" t="s">
        <v>3000</v>
      </c>
      <c r="K179" s="334"/>
      <c r="L179" s="344"/>
      <c r="M179" s="334"/>
      <c r="N179" s="334"/>
      <c r="O179" s="345"/>
      <c r="P179" s="334"/>
      <c r="Q179" s="340"/>
      <c r="R179" s="349"/>
      <c r="S179" s="334"/>
      <c r="T179" s="334"/>
      <c r="U179" s="334"/>
      <c r="V179" s="334"/>
      <c r="W179" s="334"/>
      <c r="X179" s="334"/>
      <c r="Y179" s="334"/>
      <c r="Z179" s="334"/>
      <c r="AA179" s="334"/>
    </row>
    <row r="180" spans="1:51" ht="94.5" hidden="1" customHeight="1">
      <c r="A180" s="334" t="s">
        <v>3249</v>
      </c>
      <c r="B180" s="335" t="s">
        <v>195</v>
      </c>
      <c r="C180" s="334" t="s">
        <v>3290</v>
      </c>
      <c r="D180" s="334" t="s">
        <v>550</v>
      </c>
      <c r="E180" s="348" t="s">
        <v>3296</v>
      </c>
      <c r="F180" s="352" t="s">
        <v>2964</v>
      </c>
      <c r="G180" s="334" t="s">
        <v>2954</v>
      </c>
      <c r="H180" s="334" t="s">
        <v>3297</v>
      </c>
      <c r="I180" s="334" t="s">
        <v>3080</v>
      </c>
      <c r="J180" s="352" t="s">
        <v>3000</v>
      </c>
      <c r="K180" s="334"/>
      <c r="L180" s="344"/>
      <c r="M180" s="334"/>
      <c r="N180" s="334"/>
      <c r="O180" s="345"/>
      <c r="P180" s="334"/>
      <c r="Q180" s="340"/>
      <c r="R180" s="349"/>
      <c r="S180" s="334"/>
      <c r="T180" s="334"/>
      <c r="U180" s="334"/>
      <c r="V180" s="334"/>
      <c r="W180" s="334"/>
      <c r="X180" s="334"/>
      <c r="Y180" s="334"/>
      <c r="Z180" s="334"/>
      <c r="AA180" s="334"/>
    </row>
    <row r="181" spans="1:51" ht="98.45" hidden="1" customHeight="1">
      <c r="A181" s="334" t="s">
        <v>3249</v>
      </c>
      <c r="B181" s="335" t="s">
        <v>195</v>
      </c>
      <c r="C181" s="334" t="s">
        <v>3290</v>
      </c>
      <c r="D181" s="334" t="s">
        <v>553</v>
      </c>
      <c r="E181" s="334" t="s">
        <v>3298</v>
      </c>
      <c r="F181" s="352" t="s">
        <v>2964</v>
      </c>
      <c r="G181" s="334" t="s">
        <v>2957</v>
      </c>
      <c r="H181" s="334" t="s">
        <v>3299</v>
      </c>
      <c r="I181" s="343">
        <v>1</v>
      </c>
      <c r="J181" s="352" t="s">
        <v>3000</v>
      </c>
      <c r="K181" s="334"/>
      <c r="L181" s="344"/>
      <c r="M181" s="334"/>
      <c r="N181" s="334"/>
      <c r="O181" s="345"/>
      <c r="P181" s="334"/>
      <c r="Q181" s="340"/>
      <c r="R181" s="349"/>
      <c r="S181" s="334"/>
      <c r="T181" s="334"/>
      <c r="U181" s="334"/>
      <c r="V181" s="334"/>
      <c r="W181" s="334"/>
      <c r="X181" s="334"/>
      <c r="Y181" s="334"/>
      <c r="Z181" s="334"/>
      <c r="AA181" s="334"/>
    </row>
    <row r="182" spans="1:51" ht="105.95" hidden="1" customHeight="1">
      <c r="A182" s="334" t="s">
        <v>3249</v>
      </c>
      <c r="B182" s="335" t="s">
        <v>195</v>
      </c>
      <c r="C182" s="334" t="s">
        <v>3300</v>
      </c>
      <c r="D182" s="334" t="s">
        <v>557</v>
      </c>
      <c r="E182" s="334" t="s">
        <v>3301</v>
      </c>
      <c r="F182" s="352" t="s">
        <v>2993</v>
      </c>
      <c r="G182" s="334" t="s">
        <v>2957</v>
      </c>
      <c r="H182" s="334" t="s">
        <v>3302</v>
      </c>
      <c r="I182" s="334" t="s">
        <v>3253</v>
      </c>
      <c r="J182" s="352" t="s">
        <v>3000</v>
      </c>
      <c r="K182" s="334"/>
      <c r="L182" s="344"/>
      <c r="M182" s="334"/>
      <c r="N182" s="334"/>
      <c r="O182" s="345"/>
      <c r="P182" s="334"/>
      <c r="Q182" s="340"/>
      <c r="R182" s="349"/>
      <c r="S182" s="334"/>
      <c r="T182" s="334"/>
      <c r="U182" s="334"/>
      <c r="V182" s="334"/>
      <c r="W182" s="334"/>
      <c r="X182" s="334"/>
      <c r="Y182" s="334"/>
      <c r="Z182" s="334"/>
      <c r="AA182" s="334"/>
    </row>
    <row r="183" spans="1:51" ht="47.25" hidden="1">
      <c r="A183" s="334" t="s">
        <v>3249</v>
      </c>
      <c r="B183" s="335" t="s">
        <v>195</v>
      </c>
      <c r="C183" s="334" t="s">
        <v>3300</v>
      </c>
      <c r="D183" s="334" t="s">
        <v>560</v>
      </c>
      <c r="E183" s="334" t="s">
        <v>3303</v>
      </c>
      <c r="F183" s="352" t="s">
        <v>2993</v>
      </c>
      <c r="G183" s="334" t="s">
        <v>2957</v>
      </c>
      <c r="H183" s="334" t="s">
        <v>3304</v>
      </c>
      <c r="I183" s="334" t="s">
        <v>3080</v>
      </c>
      <c r="J183" s="352" t="s">
        <v>3000</v>
      </c>
      <c r="K183" s="334"/>
      <c r="L183" s="344"/>
      <c r="M183" s="334"/>
      <c r="N183" s="334"/>
      <c r="O183" s="345"/>
      <c r="P183" s="334"/>
      <c r="Q183" s="340"/>
      <c r="R183" s="349"/>
      <c r="S183" s="334"/>
      <c r="T183" s="334"/>
      <c r="U183" s="334"/>
      <c r="V183" s="334"/>
      <c r="W183" s="334"/>
      <c r="X183" s="334"/>
      <c r="Y183" s="334"/>
      <c r="Z183" s="334"/>
      <c r="AA183" s="334"/>
    </row>
    <row r="184" spans="1:51" ht="85.5" hidden="1" customHeight="1">
      <c r="A184" s="334" t="s">
        <v>3249</v>
      </c>
      <c r="B184" s="335" t="s">
        <v>274</v>
      </c>
      <c r="C184" s="334" t="s">
        <v>3305</v>
      </c>
      <c r="D184" s="334" t="s">
        <v>563</v>
      </c>
      <c r="E184" s="334" t="s">
        <v>3306</v>
      </c>
      <c r="F184" s="442"/>
      <c r="G184" s="442" t="s">
        <v>2957</v>
      </c>
      <c r="H184" s="442"/>
      <c r="I184" s="443"/>
      <c r="J184" s="442"/>
      <c r="K184" s="442"/>
      <c r="L184" s="444"/>
      <c r="M184" s="442"/>
      <c r="N184" s="442"/>
      <c r="O184" s="445"/>
      <c r="P184" s="442"/>
      <c r="Q184" s="340"/>
      <c r="R184" s="446"/>
      <c r="S184" s="442"/>
      <c r="T184" s="442"/>
      <c r="U184" s="442"/>
      <c r="V184" s="442"/>
      <c r="W184" s="442"/>
      <c r="X184" s="442"/>
      <c r="Y184" s="442"/>
      <c r="Z184" s="442"/>
      <c r="AA184" s="442"/>
    </row>
    <row r="185" spans="1:51" ht="107.1" hidden="1" customHeight="1">
      <c r="A185" s="334" t="s">
        <v>3249</v>
      </c>
      <c r="B185" s="335" t="s">
        <v>274</v>
      </c>
      <c r="C185" s="334" t="s">
        <v>3305</v>
      </c>
      <c r="D185" s="334" t="s">
        <v>565</v>
      </c>
      <c r="E185" s="348" t="s">
        <v>3307</v>
      </c>
      <c r="F185" s="352" t="s">
        <v>2956</v>
      </c>
      <c r="G185" s="352" t="s">
        <v>2957</v>
      </c>
      <c r="H185" s="352" t="s">
        <v>3308</v>
      </c>
      <c r="I185" s="365">
        <v>1</v>
      </c>
      <c r="J185" s="352" t="s">
        <v>3000</v>
      </c>
      <c r="K185" s="334"/>
      <c r="L185" s="344"/>
      <c r="M185" s="334"/>
      <c r="N185" s="334"/>
      <c r="O185" s="345"/>
      <c r="P185" s="334"/>
      <c r="Q185" s="340"/>
      <c r="R185" s="349"/>
      <c r="S185" s="334"/>
      <c r="T185" s="334"/>
      <c r="U185" s="334"/>
      <c r="V185" s="334"/>
      <c r="W185" s="334"/>
      <c r="X185" s="334"/>
      <c r="Y185" s="334"/>
      <c r="Z185" s="334"/>
      <c r="AA185" s="334"/>
    </row>
    <row r="186" spans="1:51" ht="90.6" hidden="1" customHeight="1">
      <c r="A186" s="334" t="s">
        <v>3249</v>
      </c>
      <c r="B186" s="335" t="s">
        <v>274</v>
      </c>
      <c r="C186" s="334" t="s">
        <v>3305</v>
      </c>
      <c r="D186" s="334" t="s">
        <v>568</v>
      </c>
      <c r="E186" s="348" t="s">
        <v>3309</v>
      </c>
      <c r="F186" s="352" t="s">
        <v>2956</v>
      </c>
      <c r="G186" s="352" t="s">
        <v>2957</v>
      </c>
      <c r="H186" s="352" t="s">
        <v>3310</v>
      </c>
      <c r="I186" s="365">
        <v>1</v>
      </c>
      <c r="J186" s="352" t="s">
        <v>3000</v>
      </c>
      <c r="K186" s="334"/>
      <c r="L186" s="344"/>
      <c r="M186" s="334"/>
      <c r="N186" s="334"/>
      <c r="O186" s="345"/>
      <c r="P186" s="334"/>
      <c r="Q186" s="340"/>
      <c r="R186" s="349"/>
      <c r="S186" s="334"/>
      <c r="T186" s="334"/>
      <c r="U186" s="334"/>
      <c r="V186" s="334"/>
      <c r="W186" s="334"/>
      <c r="X186" s="334"/>
      <c r="Y186" s="334"/>
      <c r="Z186" s="334"/>
      <c r="AA186" s="334"/>
    </row>
    <row r="187" spans="1:51" ht="63" hidden="1">
      <c r="A187" s="334" t="s">
        <v>3249</v>
      </c>
      <c r="B187" s="335" t="s">
        <v>274</v>
      </c>
      <c r="C187" s="334" t="s">
        <v>3311</v>
      </c>
      <c r="D187" s="334" t="s">
        <v>572</v>
      </c>
      <c r="E187" s="334" t="s">
        <v>3312</v>
      </c>
      <c r="F187" s="352" t="s">
        <v>3272</v>
      </c>
      <c r="G187" s="352" t="s">
        <v>2957</v>
      </c>
      <c r="H187" s="352" t="s">
        <v>3313</v>
      </c>
      <c r="I187" s="365">
        <v>1</v>
      </c>
      <c r="J187" s="352" t="s">
        <v>3000</v>
      </c>
      <c r="K187" s="334"/>
      <c r="L187" s="344"/>
      <c r="M187" s="334"/>
      <c r="N187" s="334"/>
      <c r="O187" s="345"/>
      <c r="P187" s="334"/>
      <c r="Q187" s="340"/>
      <c r="R187" s="349"/>
      <c r="S187" s="334"/>
      <c r="T187" s="334"/>
      <c r="U187" s="334"/>
      <c r="V187" s="334"/>
      <c r="W187" s="334"/>
      <c r="X187" s="334"/>
      <c r="Y187" s="334"/>
      <c r="Z187" s="334"/>
      <c r="AA187" s="334"/>
    </row>
    <row r="188" spans="1:51" ht="63" hidden="1">
      <c r="A188" s="334" t="s">
        <v>3249</v>
      </c>
      <c r="B188" s="335" t="s">
        <v>274</v>
      </c>
      <c r="C188" s="334" t="s">
        <v>3311</v>
      </c>
      <c r="D188" s="334" t="s">
        <v>575</v>
      </c>
      <c r="E188" s="334" t="s">
        <v>3314</v>
      </c>
      <c r="F188" s="352" t="s">
        <v>2956</v>
      </c>
      <c r="G188" s="352" t="s">
        <v>2957</v>
      </c>
      <c r="H188" s="352" t="s">
        <v>3315</v>
      </c>
      <c r="I188" s="365">
        <v>1</v>
      </c>
      <c r="J188" s="352" t="s">
        <v>3000</v>
      </c>
      <c r="K188" s="334"/>
      <c r="L188" s="344"/>
      <c r="M188" s="334"/>
      <c r="N188" s="334"/>
      <c r="O188" s="345"/>
      <c r="P188" s="334"/>
      <c r="Q188" s="340"/>
      <c r="R188" s="349"/>
      <c r="S188" s="334"/>
      <c r="T188" s="334"/>
      <c r="U188" s="334"/>
      <c r="V188" s="334"/>
      <c r="W188" s="334"/>
      <c r="X188" s="334"/>
      <c r="Y188" s="334"/>
      <c r="Z188" s="334"/>
      <c r="AA188" s="334"/>
    </row>
    <row r="189" spans="1:51" ht="63" hidden="1">
      <c r="A189" s="334" t="s">
        <v>3249</v>
      </c>
      <c r="B189" s="335" t="s">
        <v>274</v>
      </c>
      <c r="C189" s="334" t="s">
        <v>3311</v>
      </c>
      <c r="D189" s="334" t="s">
        <v>578</v>
      </c>
      <c r="E189" s="334" t="s">
        <v>3316</v>
      </c>
      <c r="F189" s="352" t="s">
        <v>2956</v>
      </c>
      <c r="G189" s="352" t="s">
        <v>2957</v>
      </c>
      <c r="H189" s="352" t="s">
        <v>3317</v>
      </c>
      <c r="I189" s="365">
        <v>1</v>
      </c>
      <c r="J189" s="352" t="s">
        <v>3000</v>
      </c>
      <c r="K189" s="334"/>
      <c r="L189" s="344"/>
      <c r="M189" s="334"/>
      <c r="N189" s="334"/>
      <c r="O189" s="345"/>
      <c r="P189" s="334"/>
      <c r="Q189" s="340"/>
      <c r="R189" s="349"/>
      <c r="S189" s="334"/>
      <c r="T189" s="334"/>
      <c r="U189" s="334"/>
      <c r="V189" s="334"/>
      <c r="W189" s="334"/>
      <c r="X189" s="334"/>
      <c r="Y189" s="334"/>
      <c r="Z189" s="334"/>
      <c r="AA189" s="334"/>
    </row>
    <row r="190" spans="1:51" s="478" customFormat="1" ht="42" hidden="1" customHeight="1">
      <c r="A190" s="442" t="s">
        <v>3249</v>
      </c>
      <c r="B190" s="477" t="s">
        <v>274</v>
      </c>
      <c r="C190" s="442" t="s">
        <v>581</v>
      </c>
      <c r="D190" s="442" t="s">
        <v>582</v>
      </c>
      <c r="E190" s="442" t="s">
        <v>582</v>
      </c>
      <c r="F190" s="442" t="s">
        <v>582</v>
      </c>
      <c r="G190" s="442" t="s">
        <v>582</v>
      </c>
      <c r="H190" s="442" t="s">
        <v>582</v>
      </c>
      <c r="I190" s="442" t="s">
        <v>582</v>
      </c>
      <c r="J190" s="442" t="s">
        <v>582</v>
      </c>
      <c r="K190" s="442" t="s">
        <v>582</v>
      </c>
      <c r="L190" s="442" t="s">
        <v>582</v>
      </c>
      <c r="M190" s="442" t="s">
        <v>582</v>
      </c>
      <c r="N190" s="442" t="s">
        <v>582</v>
      </c>
      <c r="O190" s="442" t="s">
        <v>582</v>
      </c>
      <c r="P190" s="442" t="s">
        <v>582</v>
      </c>
      <c r="Q190" s="391"/>
      <c r="R190" s="446" t="s">
        <v>582</v>
      </c>
      <c r="S190" s="442" t="s">
        <v>582</v>
      </c>
      <c r="T190" s="442" t="s">
        <v>582</v>
      </c>
      <c r="U190" s="442"/>
      <c r="V190" s="442" t="s">
        <v>582</v>
      </c>
      <c r="W190" s="442" t="s">
        <v>582</v>
      </c>
      <c r="X190" s="442" t="s">
        <v>582</v>
      </c>
      <c r="Y190" s="442" t="s">
        <v>582</v>
      </c>
      <c r="Z190" s="442" t="s">
        <v>582</v>
      </c>
      <c r="AA190" s="442" t="s">
        <v>582</v>
      </c>
      <c r="AB190" s="327"/>
      <c r="AC190" s="327"/>
      <c r="AD190" s="327"/>
      <c r="AE190" s="327"/>
      <c r="AF190" s="327"/>
      <c r="AG190" s="327"/>
      <c r="AH190" s="327"/>
      <c r="AI190" s="327"/>
      <c r="AJ190" s="327"/>
      <c r="AK190" s="327"/>
      <c r="AL190" s="327"/>
      <c r="AM190" s="327"/>
      <c r="AN190" s="327"/>
      <c r="AO190" s="327"/>
      <c r="AP190" s="327"/>
      <c r="AQ190" s="327"/>
      <c r="AR190" s="327"/>
      <c r="AS190" s="327"/>
      <c r="AT190" s="327"/>
      <c r="AU190" s="327"/>
      <c r="AV190" s="327"/>
      <c r="AW190" s="327"/>
      <c r="AX190" s="327"/>
      <c r="AY190" s="327"/>
    </row>
    <row r="191" spans="1:51" ht="78.75" hidden="1">
      <c r="A191" s="334" t="s">
        <v>3249</v>
      </c>
      <c r="B191" s="335" t="s">
        <v>274</v>
      </c>
      <c r="C191" s="334" t="s">
        <v>3318</v>
      </c>
      <c r="D191" s="334" t="s">
        <v>584</v>
      </c>
      <c r="E191" s="334" t="s">
        <v>3319</v>
      </c>
      <c r="F191" s="352" t="s">
        <v>3009</v>
      </c>
      <c r="G191" s="334" t="s">
        <v>2957</v>
      </c>
      <c r="H191" s="334" t="s">
        <v>3320</v>
      </c>
      <c r="I191" s="343">
        <v>1</v>
      </c>
      <c r="J191" s="352" t="s">
        <v>3000</v>
      </c>
      <c r="K191" s="334"/>
      <c r="L191" s="344"/>
      <c r="M191" s="334"/>
      <c r="N191" s="334"/>
      <c r="O191" s="345"/>
      <c r="P191" s="334"/>
      <c r="Q191" s="340"/>
      <c r="R191" s="349"/>
      <c r="S191" s="334"/>
      <c r="T191" s="334"/>
      <c r="U191" s="334"/>
      <c r="V191" s="334"/>
      <c r="W191" s="334"/>
      <c r="X191" s="334"/>
      <c r="Y191" s="334"/>
      <c r="Z191" s="334"/>
      <c r="AA191" s="334"/>
    </row>
    <row r="192" spans="1:51" ht="67.5" hidden="1">
      <c r="A192" s="334" t="s">
        <v>3249</v>
      </c>
      <c r="B192" s="335" t="s">
        <v>3321</v>
      </c>
      <c r="C192" s="334" t="s">
        <v>3322</v>
      </c>
      <c r="D192" s="334" t="s">
        <v>589</v>
      </c>
      <c r="E192" s="334" t="s">
        <v>3323</v>
      </c>
      <c r="F192" s="352" t="s">
        <v>2964</v>
      </c>
      <c r="G192" s="334" t="s">
        <v>2957</v>
      </c>
      <c r="H192" s="334" t="s">
        <v>3324</v>
      </c>
      <c r="I192" s="343">
        <v>1</v>
      </c>
      <c r="J192" s="352" t="s">
        <v>3000</v>
      </c>
      <c r="K192" s="334"/>
      <c r="L192" s="344"/>
      <c r="M192" s="334"/>
      <c r="N192" s="334"/>
      <c r="O192" s="345"/>
      <c r="P192" s="334"/>
      <c r="Q192" s="340"/>
      <c r="R192" s="349"/>
      <c r="S192" s="334"/>
      <c r="T192" s="334"/>
      <c r="U192" s="334"/>
      <c r="V192" s="334"/>
      <c r="W192" s="334"/>
      <c r="X192" s="334"/>
      <c r="Y192" s="334"/>
      <c r="Z192" s="334"/>
      <c r="AA192" s="334"/>
    </row>
    <row r="193" spans="1:27" ht="21.95" hidden="1" customHeight="1">
      <c r="A193" s="334" t="s">
        <v>3249</v>
      </c>
      <c r="B193" s="335" t="s">
        <v>3321</v>
      </c>
      <c r="C193" s="334" t="s">
        <v>3322</v>
      </c>
      <c r="D193" s="334" t="s">
        <v>592</v>
      </c>
      <c r="E193" s="334" t="s">
        <v>3173</v>
      </c>
      <c r="F193" s="442"/>
      <c r="G193" s="442" t="s">
        <v>2957</v>
      </c>
      <c r="H193" s="442"/>
      <c r="I193" s="443"/>
      <c r="J193" s="442"/>
      <c r="K193" s="442"/>
      <c r="L193" s="444"/>
      <c r="M193" s="442"/>
      <c r="N193" s="442"/>
      <c r="O193" s="445"/>
      <c r="P193" s="442"/>
      <c r="Q193" s="340"/>
      <c r="R193" s="446"/>
      <c r="S193" s="442"/>
      <c r="T193" s="442"/>
      <c r="U193" s="442"/>
      <c r="V193" s="442"/>
      <c r="W193" s="442"/>
      <c r="X193" s="442"/>
      <c r="Y193" s="442"/>
      <c r="Z193" s="442"/>
      <c r="AA193" s="442"/>
    </row>
    <row r="194" spans="1:27" ht="48.95" hidden="1" customHeight="1">
      <c r="A194" s="334" t="s">
        <v>3249</v>
      </c>
      <c r="B194" s="335" t="s">
        <v>3321</v>
      </c>
      <c r="C194" s="334" t="s">
        <v>3322</v>
      </c>
      <c r="D194" s="334" t="s">
        <v>593</v>
      </c>
      <c r="E194" s="348" t="s">
        <v>3325</v>
      </c>
      <c r="F194" s="334" t="s">
        <v>2966</v>
      </c>
      <c r="G194" s="334" t="s">
        <v>2957</v>
      </c>
      <c r="H194" s="334" t="s">
        <v>3175</v>
      </c>
      <c r="I194" s="343">
        <v>1</v>
      </c>
      <c r="J194" s="352" t="s">
        <v>3000</v>
      </c>
      <c r="K194" s="334"/>
      <c r="L194" s="344"/>
      <c r="M194" s="334"/>
      <c r="N194" s="334"/>
      <c r="O194" s="345"/>
      <c r="P194" s="334"/>
      <c r="Q194" s="340"/>
      <c r="R194" s="349"/>
      <c r="S194" s="334"/>
      <c r="T194" s="334"/>
      <c r="U194" s="334"/>
      <c r="V194" s="334"/>
      <c r="W194" s="334"/>
      <c r="X194" s="334"/>
      <c r="Y194" s="334"/>
      <c r="Z194" s="334"/>
      <c r="AA194" s="334"/>
    </row>
    <row r="195" spans="1:27" ht="67.5" hidden="1">
      <c r="A195" s="334" t="s">
        <v>3249</v>
      </c>
      <c r="B195" s="335" t="s">
        <v>3321</v>
      </c>
      <c r="C195" s="334" t="s">
        <v>3322</v>
      </c>
      <c r="D195" s="334" t="s">
        <v>3326</v>
      </c>
      <c r="E195" s="348" t="s">
        <v>3327</v>
      </c>
      <c r="F195" s="334" t="s">
        <v>2966</v>
      </c>
      <c r="G195" s="334" t="s">
        <v>2957</v>
      </c>
      <c r="H195" s="334" t="s">
        <v>3175</v>
      </c>
      <c r="I195" s="343">
        <v>1</v>
      </c>
      <c r="J195" s="352" t="s">
        <v>3000</v>
      </c>
      <c r="K195" s="334"/>
      <c r="L195" s="344"/>
      <c r="M195" s="334"/>
      <c r="N195" s="334"/>
      <c r="O195" s="345"/>
      <c r="P195" s="334"/>
      <c r="Q195" s="340"/>
      <c r="R195" s="349"/>
      <c r="S195" s="334"/>
      <c r="T195" s="334"/>
      <c r="U195" s="334"/>
      <c r="V195" s="334"/>
      <c r="W195" s="334"/>
      <c r="X195" s="334"/>
      <c r="Y195" s="334"/>
      <c r="Z195" s="334"/>
      <c r="AA195" s="334"/>
    </row>
    <row r="196" spans="1:27" ht="67.5" hidden="1">
      <c r="A196" s="334" t="s">
        <v>3249</v>
      </c>
      <c r="B196" s="335" t="s">
        <v>3321</v>
      </c>
      <c r="C196" s="334" t="s">
        <v>3322</v>
      </c>
      <c r="D196" s="334" t="s">
        <v>3328</v>
      </c>
      <c r="E196" s="348" t="s">
        <v>3329</v>
      </c>
      <c r="F196" s="334" t="s">
        <v>2966</v>
      </c>
      <c r="G196" s="334" t="s">
        <v>2957</v>
      </c>
      <c r="H196" s="334" t="s">
        <v>3175</v>
      </c>
      <c r="I196" s="343">
        <v>1</v>
      </c>
      <c r="J196" s="352" t="s">
        <v>3000</v>
      </c>
      <c r="K196" s="334"/>
      <c r="L196" s="344"/>
      <c r="M196" s="334"/>
      <c r="N196" s="334"/>
      <c r="O196" s="345"/>
      <c r="P196" s="334"/>
      <c r="Q196" s="340"/>
      <c r="R196" s="349"/>
      <c r="S196" s="334"/>
      <c r="T196" s="334"/>
      <c r="U196" s="334"/>
      <c r="V196" s="334"/>
      <c r="W196" s="334"/>
      <c r="X196" s="334"/>
      <c r="Y196" s="334"/>
      <c r="Z196" s="334"/>
      <c r="AA196" s="334"/>
    </row>
    <row r="197" spans="1:27" ht="36.6" hidden="1" customHeight="1">
      <c r="A197" s="334" t="s">
        <v>3249</v>
      </c>
      <c r="B197" s="335" t="s">
        <v>3321</v>
      </c>
      <c r="C197" s="334" t="s">
        <v>3322</v>
      </c>
      <c r="D197" s="334" t="s">
        <v>3330</v>
      </c>
      <c r="E197" s="348" t="s">
        <v>3331</v>
      </c>
      <c r="F197" s="334" t="s">
        <v>2966</v>
      </c>
      <c r="G197" s="334" t="s">
        <v>2957</v>
      </c>
      <c r="H197" s="334" t="s">
        <v>3175</v>
      </c>
      <c r="I197" s="343">
        <v>1</v>
      </c>
      <c r="J197" s="352" t="s">
        <v>3000</v>
      </c>
      <c r="K197" s="334"/>
      <c r="L197" s="344"/>
      <c r="M197" s="334"/>
      <c r="N197" s="334"/>
      <c r="O197" s="345"/>
      <c r="P197" s="334"/>
      <c r="Q197" s="340"/>
      <c r="R197" s="349"/>
      <c r="S197" s="334"/>
      <c r="T197" s="334"/>
      <c r="U197" s="334"/>
      <c r="V197" s="334"/>
      <c r="W197" s="334"/>
      <c r="X197" s="334"/>
      <c r="Y197" s="334"/>
      <c r="Z197" s="334"/>
      <c r="AA197" s="334"/>
    </row>
    <row r="198" spans="1:27" ht="41.45" hidden="1" customHeight="1">
      <c r="A198" s="334" t="s">
        <v>3249</v>
      </c>
      <c r="B198" s="335" t="s">
        <v>3321</v>
      </c>
      <c r="C198" s="334" t="s">
        <v>3322</v>
      </c>
      <c r="D198" s="334" t="s">
        <v>598</v>
      </c>
      <c r="E198" s="348" t="s">
        <v>3332</v>
      </c>
      <c r="F198" s="334" t="s">
        <v>2966</v>
      </c>
      <c r="G198" s="334" t="s">
        <v>2957</v>
      </c>
      <c r="H198" s="334" t="s">
        <v>3175</v>
      </c>
      <c r="I198" s="343">
        <v>1</v>
      </c>
      <c r="J198" s="352" t="s">
        <v>3000</v>
      </c>
      <c r="K198" s="334"/>
      <c r="L198" s="344"/>
      <c r="M198" s="334"/>
      <c r="N198" s="334"/>
      <c r="O198" s="345"/>
      <c r="P198" s="334"/>
      <c r="Q198" s="340"/>
      <c r="R198" s="349"/>
      <c r="S198" s="334"/>
      <c r="T198" s="334"/>
      <c r="U198" s="334"/>
      <c r="V198" s="334"/>
      <c r="W198" s="334"/>
      <c r="X198" s="334"/>
      <c r="Y198" s="334"/>
      <c r="Z198" s="334"/>
      <c r="AA198" s="334"/>
    </row>
    <row r="199" spans="1:27" ht="48.6" hidden="1" customHeight="1">
      <c r="A199" s="334" t="s">
        <v>3249</v>
      </c>
      <c r="B199" s="335" t="s">
        <v>3321</v>
      </c>
      <c r="C199" s="334" t="s">
        <v>3322</v>
      </c>
      <c r="D199" s="334" t="s">
        <v>600</v>
      </c>
      <c r="E199" s="348" t="s">
        <v>3333</v>
      </c>
      <c r="F199" s="334" t="s">
        <v>2966</v>
      </c>
      <c r="G199" s="334" t="s">
        <v>2957</v>
      </c>
      <c r="H199" s="334" t="s">
        <v>3175</v>
      </c>
      <c r="I199" s="343">
        <v>1</v>
      </c>
      <c r="J199" s="352" t="s">
        <v>3000</v>
      </c>
      <c r="K199" s="334"/>
      <c r="L199" s="344"/>
      <c r="M199" s="334"/>
      <c r="N199" s="334"/>
      <c r="O199" s="345"/>
      <c r="P199" s="334"/>
      <c r="Q199" s="340"/>
      <c r="R199" s="349"/>
      <c r="S199" s="334"/>
      <c r="T199" s="334"/>
      <c r="U199" s="334"/>
      <c r="V199" s="334"/>
      <c r="W199" s="334"/>
      <c r="X199" s="334"/>
      <c r="Y199" s="334"/>
      <c r="Z199" s="334"/>
      <c r="AA199" s="334"/>
    </row>
    <row r="200" spans="1:27" ht="42.6" hidden="1" customHeight="1">
      <c r="A200" s="334" t="s">
        <v>3249</v>
      </c>
      <c r="B200" s="335" t="s">
        <v>3321</v>
      </c>
      <c r="C200" s="334" t="s">
        <v>3322</v>
      </c>
      <c r="D200" s="334" t="s">
        <v>602</v>
      </c>
      <c r="E200" s="348" t="s">
        <v>3334</v>
      </c>
      <c r="F200" s="334" t="s">
        <v>2966</v>
      </c>
      <c r="G200" s="334" t="s">
        <v>2957</v>
      </c>
      <c r="H200" s="334" t="s">
        <v>3175</v>
      </c>
      <c r="I200" s="343">
        <v>1</v>
      </c>
      <c r="J200" s="352" t="s">
        <v>3000</v>
      </c>
      <c r="K200" s="334"/>
      <c r="L200" s="344"/>
      <c r="M200" s="334"/>
      <c r="N200" s="334"/>
      <c r="O200" s="345"/>
      <c r="P200" s="334"/>
      <c r="Q200" s="340"/>
      <c r="R200" s="349"/>
      <c r="S200" s="334"/>
      <c r="T200" s="334"/>
      <c r="U200" s="334"/>
      <c r="V200" s="334"/>
      <c r="W200" s="334"/>
      <c r="X200" s="334"/>
      <c r="Y200" s="334"/>
      <c r="Z200" s="334"/>
      <c r="AA200" s="334"/>
    </row>
    <row r="201" spans="1:27" ht="67.5" hidden="1">
      <c r="A201" s="334" t="s">
        <v>3249</v>
      </c>
      <c r="B201" s="335" t="s">
        <v>3321</v>
      </c>
      <c r="C201" s="334" t="s">
        <v>3322</v>
      </c>
      <c r="D201" s="334" t="s">
        <v>604</v>
      </c>
      <c r="E201" s="348" t="s">
        <v>3335</v>
      </c>
      <c r="F201" s="334" t="s">
        <v>2964</v>
      </c>
      <c r="G201" s="334" t="s">
        <v>2957</v>
      </c>
      <c r="H201" s="334" t="s">
        <v>3175</v>
      </c>
      <c r="I201" s="343">
        <v>1</v>
      </c>
      <c r="J201" s="352" t="s">
        <v>3000</v>
      </c>
      <c r="K201" s="334"/>
      <c r="L201" s="344"/>
      <c r="M201" s="334"/>
      <c r="N201" s="334"/>
      <c r="O201" s="345"/>
      <c r="P201" s="334"/>
      <c r="Q201" s="340"/>
      <c r="R201" s="349"/>
      <c r="S201" s="334"/>
      <c r="T201" s="334"/>
      <c r="U201" s="334"/>
      <c r="V201" s="334"/>
      <c r="W201" s="334"/>
      <c r="X201" s="334"/>
      <c r="Y201" s="334"/>
      <c r="Z201" s="334"/>
      <c r="AA201" s="334"/>
    </row>
    <row r="202" spans="1:27" ht="67.5" hidden="1">
      <c r="A202" s="334" t="s">
        <v>3249</v>
      </c>
      <c r="B202" s="335" t="s">
        <v>3321</v>
      </c>
      <c r="C202" s="334" t="s">
        <v>3322</v>
      </c>
      <c r="D202" s="334" t="s">
        <v>606</v>
      </c>
      <c r="E202" s="348" t="s">
        <v>3336</v>
      </c>
      <c r="F202" s="334" t="s">
        <v>2964</v>
      </c>
      <c r="G202" s="334" t="s">
        <v>2957</v>
      </c>
      <c r="H202" s="334" t="s">
        <v>3175</v>
      </c>
      <c r="I202" s="343">
        <v>1</v>
      </c>
      <c r="J202" s="352" t="s">
        <v>3000</v>
      </c>
      <c r="K202" s="334"/>
      <c r="L202" s="344"/>
      <c r="M202" s="334"/>
      <c r="N202" s="334"/>
      <c r="O202" s="345"/>
      <c r="P202" s="334"/>
      <c r="Q202" s="340"/>
      <c r="R202" s="349"/>
      <c r="S202" s="334"/>
      <c r="T202" s="334"/>
      <c r="U202" s="334"/>
      <c r="V202" s="334"/>
      <c r="W202" s="334"/>
      <c r="X202" s="334"/>
      <c r="Y202" s="334"/>
      <c r="Z202" s="334"/>
      <c r="AA202" s="334"/>
    </row>
    <row r="203" spans="1:27" ht="67.5" hidden="1">
      <c r="A203" s="334" t="s">
        <v>3249</v>
      </c>
      <c r="B203" s="335" t="s">
        <v>3321</v>
      </c>
      <c r="C203" s="334" t="s">
        <v>3322</v>
      </c>
      <c r="D203" s="334" t="s">
        <v>608</v>
      </c>
      <c r="E203" s="348" t="s">
        <v>3337</v>
      </c>
      <c r="F203" s="334" t="s">
        <v>2964</v>
      </c>
      <c r="G203" s="334" t="s">
        <v>2957</v>
      </c>
      <c r="H203" s="334" t="s">
        <v>3175</v>
      </c>
      <c r="I203" s="343">
        <v>1</v>
      </c>
      <c r="J203" s="352" t="s">
        <v>3000</v>
      </c>
      <c r="K203" s="334"/>
      <c r="L203" s="344"/>
      <c r="M203" s="334"/>
      <c r="N203" s="334"/>
      <c r="O203" s="345"/>
      <c r="P203" s="334"/>
      <c r="Q203" s="340"/>
      <c r="R203" s="349"/>
      <c r="S203" s="334"/>
      <c r="T203" s="334"/>
      <c r="U203" s="334"/>
      <c r="V203" s="334"/>
      <c r="W203" s="334"/>
      <c r="X203" s="334"/>
      <c r="Y203" s="334"/>
      <c r="Z203" s="334"/>
      <c r="AA203" s="334"/>
    </row>
    <row r="204" spans="1:27" ht="67.5" hidden="1">
      <c r="A204" s="334" t="s">
        <v>3249</v>
      </c>
      <c r="B204" s="335" t="s">
        <v>3321</v>
      </c>
      <c r="C204" s="334" t="s">
        <v>3322</v>
      </c>
      <c r="D204" s="334" t="s">
        <v>610</v>
      </c>
      <c r="E204" s="334" t="s">
        <v>3338</v>
      </c>
      <c r="F204" s="334" t="s">
        <v>3272</v>
      </c>
      <c r="G204" s="334" t="s">
        <v>2957</v>
      </c>
      <c r="H204" s="334" t="s">
        <v>3339</v>
      </c>
      <c r="I204" s="334" t="s">
        <v>2999</v>
      </c>
      <c r="J204" s="352" t="s">
        <v>3000</v>
      </c>
      <c r="K204" s="334"/>
      <c r="L204" s="344"/>
      <c r="M204" s="334"/>
      <c r="N204" s="334"/>
      <c r="O204" s="345"/>
      <c r="P204" s="334"/>
      <c r="Q204" s="340"/>
      <c r="R204" s="349"/>
      <c r="S204" s="334"/>
      <c r="T204" s="334"/>
      <c r="U204" s="334"/>
      <c r="V204" s="334"/>
      <c r="W204" s="334"/>
      <c r="X204" s="334"/>
      <c r="Y204" s="334"/>
      <c r="Z204" s="334"/>
      <c r="AA204" s="334"/>
    </row>
    <row r="205" spans="1:27" s="327" customFormat="1" ht="50.45" hidden="1" customHeight="1">
      <c r="A205" s="334" t="s">
        <v>3249</v>
      </c>
      <c r="B205" s="335" t="s">
        <v>3321</v>
      </c>
      <c r="C205" s="334" t="s">
        <v>3340</v>
      </c>
      <c r="D205" s="352" t="s">
        <v>614</v>
      </c>
      <c r="E205" s="352" t="s">
        <v>3341</v>
      </c>
      <c r="F205" s="352" t="s">
        <v>2961</v>
      </c>
      <c r="G205" s="334" t="s">
        <v>2954</v>
      </c>
      <c r="H205" s="334" t="s">
        <v>3217</v>
      </c>
      <c r="I205" s="365">
        <v>1</v>
      </c>
      <c r="J205" s="352"/>
      <c r="K205" s="352"/>
      <c r="L205" s="362"/>
      <c r="M205" s="352"/>
      <c r="N205" s="352"/>
      <c r="O205" s="363"/>
      <c r="P205" s="352"/>
      <c r="Q205" s="340"/>
      <c r="R205" s="364"/>
      <c r="S205" s="352"/>
      <c r="T205" s="352"/>
      <c r="U205" s="352"/>
      <c r="V205" s="352"/>
      <c r="W205" s="352"/>
      <c r="X205" s="352"/>
      <c r="Y205" s="352"/>
      <c r="Z205" s="352"/>
      <c r="AA205" s="352"/>
    </row>
    <row r="206" spans="1:27" ht="94.5" hidden="1">
      <c r="A206" s="334" t="s">
        <v>3249</v>
      </c>
      <c r="B206" s="335" t="s">
        <v>3321</v>
      </c>
      <c r="C206" s="334" t="s">
        <v>3340</v>
      </c>
      <c r="D206" s="334" t="s">
        <v>617</v>
      </c>
      <c r="E206" s="334" t="s">
        <v>3342</v>
      </c>
      <c r="F206" s="334" t="s">
        <v>2961</v>
      </c>
      <c r="G206" s="334" t="s">
        <v>2954</v>
      </c>
      <c r="H206" s="334" t="s">
        <v>3217</v>
      </c>
      <c r="I206" s="343">
        <v>1</v>
      </c>
      <c r="J206" s="334" t="s">
        <v>3000</v>
      </c>
      <c r="K206" s="334"/>
      <c r="L206" s="344"/>
      <c r="M206" s="334"/>
      <c r="N206" s="334"/>
      <c r="O206" s="345"/>
      <c r="P206" s="334" t="s">
        <v>3074</v>
      </c>
      <c r="Q206" s="340"/>
      <c r="R206" s="349"/>
      <c r="S206" s="334"/>
      <c r="T206" s="334"/>
      <c r="U206" s="334"/>
      <c r="V206" s="334"/>
      <c r="W206" s="334"/>
      <c r="X206" s="334"/>
      <c r="Y206" s="334"/>
      <c r="Z206" s="334"/>
      <c r="AA206" s="334"/>
    </row>
    <row r="207" spans="1:27" ht="67.5" hidden="1">
      <c r="A207" s="334" t="s">
        <v>3249</v>
      </c>
      <c r="B207" s="335" t="s">
        <v>3321</v>
      </c>
      <c r="C207" s="334" t="s">
        <v>3340</v>
      </c>
      <c r="D207" s="334" t="s">
        <v>618</v>
      </c>
      <c r="E207" s="334" t="s">
        <v>3343</v>
      </c>
      <c r="F207" s="334" t="s">
        <v>2961</v>
      </c>
      <c r="G207" s="334" t="s">
        <v>2954</v>
      </c>
      <c r="H207" s="334" t="s">
        <v>3220</v>
      </c>
      <c r="I207" s="334">
        <v>2030</v>
      </c>
      <c r="J207" s="334"/>
      <c r="K207" s="334"/>
      <c r="L207" s="344"/>
      <c r="M207" s="334"/>
      <c r="N207" s="334"/>
      <c r="O207" s="345"/>
      <c r="P207" s="334"/>
      <c r="Q207" s="340"/>
      <c r="R207" s="349"/>
      <c r="S207" s="334"/>
      <c r="T207" s="334"/>
      <c r="U207" s="334"/>
      <c r="V207" s="334"/>
      <c r="W207" s="334"/>
      <c r="X207" s="334"/>
      <c r="Y207" s="334"/>
      <c r="Z207" s="334"/>
      <c r="AA207" s="334"/>
    </row>
    <row r="208" spans="1:27" ht="94.5" hidden="1">
      <c r="A208" s="334" t="s">
        <v>3249</v>
      </c>
      <c r="B208" s="335" t="s">
        <v>3321</v>
      </c>
      <c r="C208" s="334" t="s">
        <v>3344</v>
      </c>
      <c r="D208" s="334" t="s">
        <v>621</v>
      </c>
      <c r="E208" s="334" t="s">
        <v>3345</v>
      </c>
      <c r="F208" s="334" t="s">
        <v>2964</v>
      </c>
      <c r="G208" s="334" t="s">
        <v>2954</v>
      </c>
      <c r="H208" s="334" t="s">
        <v>3346</v>
      </c>
      <c r="I208" s="343">
        <v>1</v>
      </c>
      <c r="J208" s="352" t="s">
        <v>3000</v>
      </c>
      <c r="K208" s="334"/>
      <c r="L208" s="344"/>
      <c r="M208" s="334"/>
      <c r="N208" s="334"/>
      <c r="O208" s="345"/>
      <c r="P208" s="334"/>
      <c r="Q208" s="340"/>
      <c r="R208" s="349"/>
      <c r="S208" s="334"/>
      <c r="T208" s="334"/>
      <c r="U208" s="334"/>
      <c r="V208" s="334"/>
      <c r="W208" s="334"/>
      <c r="X208" s="334"/>
      <c r="Y208" s="334"/>
      <c r="Z208" s="334"/>
      <c r="AA208" s="334"/>
    </row>
    <row r="209" spans="1:27" ht="67.5" hidden="1">
      <c r="A209" s="334" t="s">
        <v>3249</v>
      </c>
      <c r="B209" s="335" t="s">
        <v>3321</v>
      </c>
      <c r="C209" s="334" t="s">
        <v>3347</v>
      </c>
      <c r="D209" s="334" t="s">
        <v>625</v>
      </c>
      <c r="E209" s="334" t="s">
        <v>3348</v>
      </c>
      <c r="F209" s="334" t="s">
        <v>2966</v>
      </c>
      <c r="G209" s="334" t="s">
        <v>2957</v>
      </c>
      <c r="H209" s="334" t="s">
        <v>3349</v>
      </c>
      <c r="I209" s="343">
        <v>0.5</v>
      </c>
      <c r="J209" s="352" t="s">
        <v>3000</v>
      </c>
      <c r="K209" s="334"/>
      <c r="L209" s="344"/>
      <c r="M209" s="334"/>
      <c r="N209" s="334"/>
      <c r="O209" s="345"/>
      <c r="P209" s="334"/>
      <c r="Q209" s="340"/>
      <c r="R209" s="349"/>
      <c r="S209" s="334"/>
      <c r="T209" s="334"/>
      <c r="U209" s="334"/>
      <c r="V209" s="334"/>
      <c r="W209" s="334"/>
      <c r="X209" s="334"/>
      <c r="Y209" s="334"/>
      <c r="Z209" s="334"/>
      <c r="AA209" s="334"/>
    </row>
    <row r="210" spans="1:27" ht="67.5" hidden="1">
      <c r="A210" s="334" t="s">
        <v>3249</v>
      </c>
      <c r="B210" s="335" t="s">
        <v>3321</v>
      </c>
      <c r="C210" s="334" t="s">
        <v>3347</v>
      </c>
      <c r="D210" s="334" t="s">
        <v>628</v>
      </c>
      <c r="E210" s="334" t="s">
        <v>3350</v>
      </c>
      <c r="F210" s="334" t="s">
        <v>2966</v>
      </c>
      <c r="G210" s="334" t="s">
        <v>2957</v>
      </c>
      <c r="H210" s="334" t="s">
        <v>3247</v>
      </c>
      <c r="I210" s="334" t="s">
        <v>3080</v>
      </c>
      <c r="J210" s="352" t="s">
        <v>3000</v>
      </c>
      <c r="K210" s="334"/>
      <c r="L210" s="344"/>
      <c r="M210" s="334"/>
      <c r="N210" s="334"/>
      <c r="O210" s="345"/>
      <c r="P210" s="334"/>
      <c r="Q210" s="340"/>
      <c r="R210" s="349"/>
      <c r="S210" s="334"/>
      <c r="T210" s="334"/>
      <c r="U210" s="334"/>
      <c r="V210" s="334"/>
      <c r="W210" s="334"/>
      <c r="X210" s="334"/>
      <c r="Y210" s="334"/>
      <c r="Z210" s="334"/>
      <c r="AA210" s="334"/>
    </row>
    <row r="211" spans="1:27" ht="94.5" hidden="1">
      <c r="A211" s="334" t="s">
        <v>3249</v>
      </c>
      <c r="B211" s="335" t="s">
        <v>3321</v>
      </c>
      <c r="C211" s="334" t="s">
        <v>3347</v>
      </c>
      <c r="D211" s="334" t="s">
        <v>630</v>
      </c>
      <c r="E211" s="334" t="s">
        <v>3351</v>
      </c>
      <c r="F211" s="334" t="s">
        <v>2966</v>
      </c>
      <c r="G211" s="334" t="s">
        <v>2957</v>
      </c>
      <c r="H211" s="334" t="s">
        <v>3247</v>
      </c>
      <c r="I211" s="334" t="s">
        <v>3080</v>
      </c>
      <c r="J211" s="352" t="s">
        <v>3000</v>
      </c>
      <c r="K211" s="334"/>
      <c r="L211" s="344"/>
      <c r="M211" s="334"/>
      <c r="N211" s="334"/>
      <c r="O211" s="345"/>
      <c r="P211" s="334"/>
      <c r="Q211" s="340"/>
      <c r="R211" s="349"/>
      <c r="S211" s="334"/>
      <c r="T211" s="334"/>
      <c r="U211" s="334"/>
      <c r="V211" s="334"/>
      <c r="W211" s="334"/>
      <c r="X211" s="334"/>
      <c r="Y211" s="334"/>
      <c r="Z211" s="334"/>
      <c r="AA211" s="334"/>
    </row>
    <row r="212" spans="1:27" ht="346.5" hidden="1">
      <c r="A212" s="334" t="s">
        <v>3249</v>
      </c>
      <c r="B212" s="335" t="s">
        <v>3321</v>
      </c>
      <c r="C212" s="334" t="s">
        <v>3347</v>
      </c>
      <c r="D212" s="334" t="s">
        <v>632</v>
      </c>
      <c r="E212" s="334" t="s">
        <v>3352</v>
      </c>
      <c r="F212" s="352" t="s">
        <v>3272</v>
      </c>
      <c r="G212" s="334" t="s">
        <v>2957</v>
      </c>
      <c r="H212" s="334" t="s">
        <v>3353</v>
      </c>
      <c r="I212" s="343">
        <v>1</v>
      </c>
      <c r="J212" s="352" t="s">
        <v>3000</v>
      </c>
      <c r="K212" s="334"/>
      <c r="L212" s="344"/>
      <c r="M212" s="334"/>
      <c r="N212" s="334"/>
      <c r="O212" s="345"/>
      <c r="P212" s="334"/>
      <c r="Q212" s="340"/>
      <c r="R212" s="349"/>
      <c r="S212" s="334"/>
      <c r="T212" s="334"/>
      <c r="U212" s="334"/>
      <c r="V212" s="334"/>
      <c r="W212" s="334"/>
      <c r="X212" s="334"/>
      <c r="Y212" s="334"/>
      <c r="Z212" s="334"/>
      <c r="AA212" s="334"/>
    </row>
    <row r="213" spans="1:27" ht="52.5" hidden="1" customHeight="1">
      <c r="A213" s="334" t="s">
        <v>3249</v>
      </c>
      <c r="B213" s="335" t="s">
        <v>3321</v>
      </c>
      <c r="C213" s="334" t="s">
        <v>3347</v>
      </c>
      <c r="D213" s="334" t="s">
        <v>635</v>
      </c>
      <c r="E213" s="479" t="s">
        <v>3354</v>
      </c>
      <c r="F213" s="334"/>
      <c r="G213" s="334" t="s">
        <v>2957</v>
      </c>
      <c r="H213" s="334" t="s">
        <v>3355</v>
      </c>
      <c r="I213" s="334" t="s">
        <v>3356</v>
      </c>
      <c r="J213" s="334"/>
      <c r="K213" s="334"/>
      <c r="L213" s="344"/>
      <c r="M213" s="334"/>
      <c r="N213" s="334"/>
      <c r="O213" s="345"/>
      <c r="P213" s="334"/>
      <c r="Q213" s="340"/>
      <c r="R213" s="349"/>
      <c r="S213" s="334"/>
      <c r="T213" s="334"/>
      <c r="U213" s="334"/>
      <c r="V213" s="334"/>
      <c r="W213" s="334"/>
      <c r="X213" s="334"/>
      <c r="Y213" s="334"/>
      <c r="Z213" s="334"/>
      <c r="AA213" s="334"/>
    </row>
    <row r="214" spans="1:27" hidden="1">
      <c r="A214" s="394" t="s">
        <v>3357</v>
      </c>
      <c r="B214" s="395"/>
      <c r="C214" s="396"/>
      <c r="D214" s="396"/>
      <c r="E214" s="396"/>
      <c r="F214" s="396"/>
      <c r="G214" s="396"/>
      <c r="H214" s="396"/>
      <c r="I214" s="396"/>
      <c r="J214" s="396"/>
      <c r="K214" s="396"/>
      <c r="L214" s="396"/>
      <c r="M214" s="396"/>
      <c r="N214" s="396"/>
      <c r="O214" s="396"/>
      <c r="P214" s="397"/>
      <c r="Q214" s="398"/>
      <c r="R214" s="399"/>
      <c r="S214" s="396"/>
      <c r="T214" s="396"/>
      <c r="U214" s="396"/>
      <c r="V214" s="396"/>
      <c r="W214" s="396"/>
      <c r="X214" s="396"/>
      <c r="Y214" s="396"/>
      <c r="Z214" s="396"/>
      <c r="AA214" s="396"/>
    </row>
    <row r="215" spans="1:27" ht="116.45" hidden="1" customHeight="1">
      <c r="A215" s="334" t="s">
        <v>3358</v>
      </c>
      <c r="B215" s="335" t="s">
        <v>2951</v>
      </c>
      <c r="C215" s="334" t="s">
        <v>3359</v>
      </c>
      <c r="D215" s="334" t="s">
        <v>641</v>
      </c>
      <c r="E215" s="334" t="s">
        <v>3360</v>
      </c>
      <c r="F215" s="334" t="s">
        <v>2964</v>
      </c>
      <c r="G215" s="334" t="s">
        <v>2957</v>
      </c>
      <c r="H215" s="334" t="s">
        <v>3361</v>
      </c>
      <c r="I215" s="334" t="s">
        <v>3253</v>
      </c>
      <c r="J215" s="352" t="s">
        <v>3000</v>
      </c>
      <c r="K215" s="334"/>
      <c r="L215" s="344"/>
      <c r="M215" s="334"/>
      <c r="N215" s="334"/>
      <c r="O215" s="345"/>
      <c r="P215" s="334"/>
      <c r="Q215" s="340"/>
      <c r="R215" s="349"/>
      <c r="S215" s="334"/>
      <c r="T215" s="334"/>
      <c r="U215" s="334"/>
      <c r="V215" s="334"/>
      <c r="W215" s="334"/>
      <c r="X215" s="334"/>
      <c r="Y215" s="334"/>
      <c r="Z215" s="334"/>
      <c r="AA215" s="334"/>
    </row>
    <row r="216" spans="1:27" ht="67.5" hidden="1" customHeight="1">
      <c r="A216" s="334" t="s">
        <v>3358</v>
      </c>
      <c r="B216" s="335" t="s">
        <v>2951</v>
      </c>
      <c r="C216" s="334" t="s">
        <v>3362</v>
      </c>
      <c r="D216" s="334" t="s">
        <v>644</v>
      </c>
      <c r="E216" s="334" t="s">
        <v>3363</v>
      </c>
      <c r="F216" s="334" t="s">
        <v>3266</v>
      </c>
      <c r="G216" s="334" t="s">
        <v>2957</v>
      </c>
      <c r="H216" s="334" t="s">
        <v>3364</v>
      </c>
      <c r="I216" s="334" t="s">
        <v>3365</v>
      </c>
      <c r="J216" s="352" t="s">
        <v>3000</v>
      </c>
      <c r="K216" s="334"/>
      <c r="L216" s="344"/>
      <c r="M216" s="334"/>
      <c r="N216" s="334"/>
      <c r="O216" s="345"/>
      <c r="P216" s="334"/>
      <c r="Q216" s="340"/>
      <c r="R216" s="349"/>
      <c r="S216" s="334"/>
      <c r="T216" s="334"/>
      <c r="U216" s="334"/>
      <c r="V216" s="334"/>
      <c r="W216" s="334"/>
      <c r="X216" s="334"/>
      <c r="Y216" s="334"/>
      <c r="Z216" s="334"/>
      <c r="AA216" s="334"/>
    </row>
    <row r="217" spans="1:27" ht="96.95" hidden="1" customHeight="1">
      <c r="A217" s="334" t="s">
        <v>18</v>
      </c>
      <c r="B217" s="335" t="s">
        <v>54</v>
      </c>
      <c r="C217" s="334" t="s">
        <v>3362</v>
      </c>
      <c r="D217" s="334" t="s">
        <v>647</v>
      </c>
      <c r="E217" s="334" t="s">
        <v>3366</v>
      </c>
      <c r="F217" s="334" t="s">
        <v>2956</v>
      </c>
      <c r="G217" s="334" t="s">
        <v>2967</v>
      </c>
      <c r="H217" s="334"/>
      <c r="I217" s="343"/>
      <c r="J217" s="352"/>
      <c r="K217" s="334"/>
      <c r="L217" s="344"/>
      <c r="M217" s="334"/>
      <c r="N217" s="334"/>
      <c r="O217" s="345"/>
      <c r="P217" s="334"/>
      <c r="Q217" s="340"/>
      <c r="R217" s="349"/>
      <c r="S217" s="334"/>
      <c r="T217" s="334"/>
      <c r="U217" s="334"/>
      <c r="V217" s="334"/>
      <c r="W217" s="334"/>
      <c r="X217" s="334"/>
      <c r="Y217" s="334"/>
      <c r="Z217" s="334"/>
      <c r="AA217" s="334"/>
    </row>
    <row r="218" spans="1:27" ht="66" hidden="1" customHeight="1">
      <c r="A218" s="334" t="s">
        <v>18</v>
      </c>
      <c r="B218" s="335" t="s">
        <v>54</v>
      </c>
      <c r="C218" s="334" t="s">
        <v>3362</v>
      </c>
      <c r="D218" s="334" t="s">
        <v>650</v>
      </c>
      <c r="E218" s="334" t="s">
        <v>3367</v>
      </c>
      <c r="F218" s="334" t="s">
        <v>2964</v>
      </c>
      <c r="G218" s="334" t="s">
        <v>2967</v>
      </c>
      <c r="H218" s="334"/>
      <c r="I218" s="343"/>
      <c r="J218" s="352"/>
      <c r="K218" s="334"/>
      <c r="L218" s="344"/>
      <c r="M218" s="334"/>
      <c r="N218" s="334"/>
      <c r="O218" s="345"/>
      <c r="P218" s="334"/>
      <c r="Q218" s="340"/>
      <c r="R218" s="349"/>
      <c r="S218" s="334"/>
      <c r="T218" s="334"/>
      <c r="U218" s="334"/>
      <c r="V218" s="334"/>
      <c r="W218" s="334"/>
      <c r="X218" s="334"/>
      <c r="Y218" s="334"/>
      <c r="Z218" s="334"/>
      <c r="AA218" s="334"/>
    </row>
    <row r="219" spans="1:27" ht="66" hidden="1" customHeight="1">
      <c r="A219" s="334" t="s">
        <v>18</v>
      </c>
      <c r="B219" s="335" t="s">
        <v>54</v>
      </c>
      <c r="C219" s="334" t="s">
        <v>3362</v>
      </c>
      <c r="D219" s="334" t="s">
        <v>653</v>
      </c>
      <c r="E219" s="334" t="s">
        <v>3368</v>
      </c>
      <c r="F219" s="334" t="s">
        <v>2956</v>
      </c>
      <c r="G219" s="334" t="s">
        <v>2967</v>
      </c>
      <c r="H219" s="334" t="s">
        <v>3369</v>
      </c>
      <c r="I219" s="343">
        <v>1</v>
      </c>
      <c r="J219" s="352"/>
      <c r="K219" s="334"/>
      <c r="L219" s="344"/>
      <c r="M219" s="334"/>
      <c r="N219" s="334"/>
      <c r="O219" s="345"/>
      <c r="P219" s="334"/>
      <c r="Q219" s="340"/>
      <c r="R219" s="349"/>
      <c r="S219" s="334"/>
      <c r="T219" s="334"/>
      <c r="U219" s="334"/>
      <c r="V219" s="334"/>
      <c r="W219" s="334"/>
      <c r="X219" s="334"/>
      <c r="Y219" s="334"/>
      <c r="Z219" s="334"/>
      <c r="AA219" s="334"/>
    </row>
    <row r="220" spans="1:27" ht="94.5" hidden="1">
      <c r="A220" s="334" t="s">
        <v>3358</v>
      </c>
      <c r="B220" s="335" t="s">
        <v>2951</v>
      </c>
      <c r="C220" s="334" t="s">
        <v>3362</v>
      </c>
      <c r="D220" s="334" t="s">
        <v>656</v>
      </c>
      <c r="E220" s="334" t="s">
        <v>3370</v>
      </c>
      <c r="F220" s="352" t="s">
        <v>3371</v>
      </c>
      <c r="G220" s="334" t="s">
        <v>2957</v>
      </c>
      <c r="H220" s="334" t="s">
        <v>3372</v>
      </c>
      <c r="I220" s="334" t="s">
        <v>3373</v>
      </c>
      <c r="J220" s="352" t="s">
        <v>3000</v>
      </c>
      <c r="K220" s="334"/>
      <c r="L220" s="344"/>
      <c r="M220" s="334"/>
      <c r="N220" s="334"/>
      <c r="O220" s="345"/>
      <c r="P220" s="334"/>
      <c r="Q220" s="340"/>
      <c r="R220" s="349"/>
      <c r="S220" s="334"/>
      <c r="T220" s="334"/>
      <c r="U220" s="334"/>
      <c r="V220" s="334"/>
      <c r="W220" s="334"/>
      <c r="X220" s="334"/>
      <c r="Y220" s="334"/>
      <c r="Z220" s="334"/>
      <c r="AA220" s="334"/>
    </row>
    <row r="221" spans="1:27" ht="47.25" hidden="1">
      <c r="A221" s="334" t="s">
        <v>3358</v>
      </c>
      <c r="B221" s="335" t="s">
        <v>2951</v>
      </c>
      <c r="C221" s="334" t="s">
        <v>3374</v>
      </c>
      <c r="D221" s="334" t="s">
        <v>661</v>
      </c>
      <c r="E221" s="334" t="s">
        <v>3280</v>
      </c>
      <c r="F221" s="352" t="s">
        <v>2961</v>
      </c>
      <c r="G221" s="334" t="s">
        <v>2957</v>
      </c>
      <c r="H221" s="334" t="s">
        <v>3281</v>
      </c>
      <c r="I221" s="334" t="s">
        <v>3023</v>
      </c>
      <c r="J221" s="352" t="s">
        <v>3000</v>
      </c>
      <c r="K221" s="334"/>
      <c r="L221" s="344"/>
      <c r="M221" s="334"/>
      <c r="N221" s="334"/>
      <c r="O221" s="345"/>
      <c r="P221" s="334"/>
      <c r="Q221" s="340"/>
      <c r="R221" s="349"/>
      <c r="S221" s="334"/>
      <c r="T221" s="334"/>
      <c r="U221" s="334"/>
      <c r="V221" s="334"/>
      <c r="W221" s="334"/>
      <c r="X221" s="334"/>
      <c r="Y221" s="334"/>
      <c r="Z221" s="334"/>
      <c r="AA221" s="334"/>
    </row>
    <row r="222" spans="1:27" ht="101.45" hidden="1" customHeight="1">
      <c r="A222" s="334" t="s">
        <v>3358</v>
      </c>
      <c r="B222" s="335" t="s">
        <v>2951</v>
      </c>
      <c r="C222" s="334" t="s">
        <v>3374</v>
      </c>
      <c r="D222" s="334" t="s">
        <v>662</v>
      </c>
      <c r="E222" s="334" t="s">
        <v>3276</v>
      </c>
      <c r="F222" s="352" t="s">
        <v>2964</v>
      </c>
      <c r="G222" s="334" t="s">
        <v>2957</v>
      </c>
      <c r="H222" s="334" t="s">
        <v>3375</v>
      </c>
      <c r="I222" s="334" t="s">
        <v>3278</v>
      </c>
      <c r="J222" s="352" t="s">
        <v>3000</v>
      </c>
      <c r="K222" s="334"/>
      <c r="L222" s="344"/>
      <c r="M222" s="334"/>
      <c r="N222" s="334"/>
      <c r="O222" s="345"/>
      <c r="P222" s="334"/>
      <c r="Q222" s="340"/>
      <c r="R222" s="349"/>
      <c r="S222" s="334"/>
      <c r="T222" s="334"/>
      <c r="U222" s="334"/>
      <c r="V222" s="334"/>
      <c r="W222" s="334"/>
      <c r="X222" s="334"/>
      <c r="Y222" s="334"/>
      <c r="Z222" s="334"/>
      <c r="AA222" s="334"/>
    </row>
    <row r="223" spans="1:27" ht="88.5" hidden="1" customHeight="1">
      <c r="A223" s="334" t="s">
        <v>3358</v>
      </c>
      <c r="B223" s="335" t="s">
        <v>195</v>
      </c>
      <c r="C223" s="334" t="s">
        <v>3376</v>
      </c>
      <c r="D223" s="334" t="s">
        <v>664</v>
      </c>
      <c r="E223" s="334" t="s">
        <v>3377</v>
      </c>
      <c r="F223" s="352" t="s">
        <v>2993</v>
      </c>
      <c r="G223" s="334" t="s">
        <v>2957</v>
      </c>
      <c r="H223" s="334" t="s">
        <v>3378</v>
      </c>
      <c r="I223" s="334" t="s">
        <v>3379</v>
      </c>
      <c r="J223" s="352" t="s">
        <v>3000</v>
      </c>
      <c r="K223" s="334"/>
      <c r="L223" s="344"/>
      <c r="M223" s="334"/>
      <c r="N223" s="334"/>
      <c r="O223" s="345"/>
      <c r="P223" s="334"/>
      <c r="Q223" s="340"/>
      <c r="R223" s="349"/>
      <c r="S223" s="334"/>
      <c r="T223" s="334"/>
      <c r="U223" s="334"/>
      <c r="V223" s="334"/>
      <c r="W223" s="334"/>
      <c r="X223" s="334"/>
      <c r="Y223" s="334"/>
      <c r="Z223" s="334"/>
      <c r="AA223" s="334"/>
    </row>
    <row r="224" spans="1:27" ht="84.6" hidden="1" customHeight="1">
      <c r="A224" s="334" t="s">
        <v>3358</v>
      </c>
      <c r="B224" s="335" t="s">
        <v>195</v>
      </c>
      <c r="C224" s="334" t="s">
        <v>3376</v>
      </c>
      <c r="D224" s="334" t="s">
        <v>668</v>
      </c>
      <c r="E224" s="334" t="s">
        <v>3380</v>
      </c>
      <c r="F224" s="352" t="s">
        <v>2993</v>
      </c>
      <c r="G224" s="334" t="s">
        <v>2957</v>
      </c>
      <c r="H224" s="334" t="s">
        <v>3381</v>
      </c>
      <c r="I224" s="334" t="s">
        <v>3382</v>
      </c>
      <c r="J224" s="352" t="s">
        <v>3000</v>
      </c>
      <c r="K224" s="334"/>
      <c r="L224" s="344"/>
      <c r="M224" s="334"/>
      <c r="N224" s="334"/>
      <c r="O224" s="345"/>
      <c r="P224" s="334"/>
      <c r="Q224" s="340"/>
      <c r="R224" s="349"/>
      <c r="S224" s="334"/>
      <c r="T224" s="334"/>
      <c r="U224" s="334"/>
      <c r="V224" s="334"/>
      <c r="W224" s="334"/>
      <c r="X224" s="334"/>
      <c r="Y224" s="334"/>
      <c r="Z224" s="334"/>
      <c r="AA224" s="334"/>
    </row>
    <row r="225" spans="1:27" ht="105" hidden="1" customHeight="1">
      <c r="A225" s="334" t="s">
        <v>3358</v>
      </c>
      <c r="B225" s="335" t="s">
        <v>195</v>
      </c>
      <c r="C225" s="334" t="s">
        <v>3376</v>
      </c>
      <c r="D225" s="334" t="s">
        <v>672</v>
      </c>
      <c r="E225" s="334" t="s">
        <v>3383</v>
      </c>
      <c r="F225" s="352" t="s">
        <v>2993</v>
      </c>
      <c r="G225" s="334" t="s">
        <v>2957</v>
      </c>
      <c r="H225" s="334" t="s">
        <v>3286</v>
      </c>
      <c r="I225" s="334" t="s">
        <v>3384</v>
      </c>
      <c r="J225" s="352" t="s">
        <v>3000</v>
      </c>
      <c r="K225" s="334"/>
      <c r="L225" s="344"/>
      <c r="M225" s="334"/>
      <c r="N225" s="334"/>
      <c r="O225" s="345"/>
      <c r="P225" s="334"/>
      <c r="Q225" s="340"/>
      <c r="R225" s="349"/>
      <c r="S225" s="334"/>
      <c r="T225" s="334"/>
      <c r="U225" s="334"/>
      <c r="V225" s="334"/>
      <c r="W225" s="334"/>
      <c r="X225" s="334"/>
      <c r="Y225" s="334"/>
      <c r="Z225" s="334"/>
      <c r="AA225" s="334"/>
    </row>
    <row r="226" spans="1:27" ht="63" hidden="1">
      <c r="A226" s="334" t="s">
        <v>3358</v>
      </c>
      <c r="B226" s="335" t="s">
        <v>195</v>
      </c>
      <c r="C226" s="334" t="s">
        <v>674</v>
      </c>
      <c r="D226" s="334" t="s">
        <v>675</v>
      </c>
      <c r="E226" s="334" t="s">
        <v>3288</v>
      </c>
      <c r="F226" s="334" t="s">
        <v>2964</v>
      </c>
      <c r="G226" s="334" t="s">
        <v>2957</v>
      </c>
      <c r="H226" s="334" t="s">
        <v>3385</v>
      </c>
      <c r="I226" s="343">
        <v>1</v>
      </c>
      <c r="J226" s="352" t="s">
        <v>3000</v>
      </c>
      <c r="K226" s="334"/>
      <c r="L226" s="344"/>
      <c r="M226" s="334"/>
      <c r="N226" s="334"/>
      <c r="O226" s="345"/>
      <c r="P226" s="334"/>
      <c r="Q226" s="340"/>
      <c r="R226" s="349"/>
      <c r="S226" s="334"/>
      <c r="T226" s="334"/>
      <c r="U226" s="334"/>
      <c r="V226" s="334"/>
      <c r="W226" s="334"/>
      <c r="X226" s="334"/>
      <c r="Y226" s="334"/>
      <c r="Z226" s="334"/>
      <c r="AA226" s="334"/>
    </row>
    <row r="227" spans="1:27" ht="94.5" hidden="1">
      <c r="A227" s="334" t="s">
        <v>3358</v>
      </c>
      <c r="B227" s="335" t="s">
        <v>195</v>
      </c>
      <c r="C227" s="334" t="s">
        <v>3386</v>
      </c>
      <c r="D227" s="334" t="s">
        <v>679</v>
      </c>
      <c r="E227" s="334" t="s">
        <v>3387</v>
      </c>
      <c r="F227" s="442"/>
      <c r="G227" s="442" t="s">
        <v>2957</v>
      </c>
      <c r="H227" s="442"/>
      <c r="I227" s="443"/>
      <c r="J227" s="442"/>
      <c r="K227" s="442"/>
      <c r="L227" s="444"/>
      <c r="M227" s="442"/>
      <c r="N227" s="442"/>
      <c r="O227" s="445"/>
      <c r="P227" s="442"/>
      <c r="Q227" s="340"/>
      <c r="R227" s="446"/>
      <c r="S227" s="442"/>
      <c r="T227" s="442"/>
      <c r="U227" s="442"/>
      <c r="V227" s="442"/>
      <c r="W227" s="442"/>
      <c r="X227" s="442"/>
      <c r="Y227" s="442"/>
      <c r="Z227" s="442"/>
      <c r="AA227" s="442"/>
    </row>
    <row r="228" spans="1:27" ht="82.5" hidden="1" customHeight="1">
      <c r="A228" s="334" t="s">
        <v>3358</v>
      </c>
      <c r="B228" s="335" t="s">
        <v>195</v>
      </c>
      <c r="C228" s="334" t="s">
        <v>3386</v>
      </c>
      <c r="D228" s="334" t="s">
        <v>680</v>
      </c>
      <c r="E228" s="348" t="s">
        <v>3388</v>
      </c>
      <c r="F228" s="352" t="s">
        <v>2964</v>
      </c>
      <c r="G228" s="334" t="s">
        <v>2957</v>
      </c>
      <c r="H228" s="334" t="s">
        <v>3293</v>
      </c>
      <c r="I228" s="343">
        <v>1</v>
      </c>
      <c r="J228" s="352" t="s">
        <v>2974</v>
      </c>
      <c r="K228" s="334"/>
      <c r="L228" s="344"/>
      <c r="M228" s="334"/>
      <c r="N228" s="334"/>
      <c r="O228" s="345"/>
      <c r="P228" s="334"/>
      <c r="Q228" s="340"/>
      <c r="R228" s="349"/>
      <c r="S228" s="334"/>
      <c r="T228" s="334"/>
      <c r="U228" s="334"/>
      <c r="V228" s="334"/>
      <c r="W228" s="334"/>
      <c r="X228" s="334"/>
      <c r="Y228" s="334"/>
      <c r="Z228" s="334"/>
      <c r="AA228" s="334"/>
    </row>
    <row r="229" spans="1:27" ht="47.25" hidden="1">
      <c r="A229" s="334" t="s">
        <v>3358</v>
      </c>
      <c r="B229" s="335" t="s">
        <v>195</v>
      </c>
      <c r="C229" s="334" t="s">
        <v>3386</v>
      </c>
      <c r="D229" s="334" t="s">
        <v>682</v>
      </c>
      <c r="E229" s="348" t="s">
        <v>3389</v>
      </c>
      <c r="F229" s="352" t="s">
        <v>2956</v>
      </c>
      <c r="G229" s="334" t="s">
        <v>2957</v>
      </c>
      <c r="H229" s="334" t="s">
        <v>3295</v>
      </c>
      <c r="I229" s="343">
        <v>1</v>
      </c>
      <c r="J229" s="352" t="s">
        <v>2974</v>
      </c>
      <c r="K229" s="334"/>
      <c r="L229" s="344"/>
      <c r="M229" s="334"/>
      <c r="N229" s="334"/>
      <c r="O229" s="345"/>
      <c r="P229" s="334"/>
      <c r="Q229" s="340"/>
      <c r="R229" s="349"/>
      <c r="S229" s="334"/>
      <c r="T229" s="334"/>
      <c r="U229" s="334"/>
      <c r="V229" s="334"/>
      <c r="W229" s="334"/>
      <c r="X229" s="334"/>
      <c r="Y229" s="334"/>
      <c r="Z229" s="334"/>
      <c r="AA229" s="334"/>
    </row>
    <row r="230" spans="1:27" ht="94.5" hidden="1">
      <c r="A230" s="334" t="s">
        <v>3358</v>
      </c>
      <c r="B230" s="335" t="s">
        <v>195</v>
      </c>
      <c r="C230" s="334" t="s">
        <v>3386</v>
      </c>
      <c r="D230" s="334" t="s">
        <v>683</v>
      </c>
      <c r="E230" s="348" t="s">
        <v>3390</v>
      </c>
      <c r="F230" s="352" t="s">
        <v>2964</v>
      </c>
      <c r="G230" s="334" t="s">
        <v>2957</v>
      </c>
      <c r="H230" s="334" t="s">
        <v>3391</v>
      </c>
      <c r="I230" s="343">
        <v>1</v>
      </c>
      <c r="J230" s="352" t="s">
        <v>2974</v>
      </c>
      <c r="K230" s="334"/>
      <c r="L230" s="344"/>
      <c r="M230" s="334"/>
      <c r="N230" s="334"/>
      <c r="O230" s="345"/>
      <c r="P230" s="334"/>
      <c r="Q230" s="340"/>
      <c r="R230" s="349"/>
      <c r="S230" s="334"/>
      <c r="T230" s="334"/>
      <c r="U230" s="334"/>
      <c r="V230" s="334"/>
      <c r="W230" s="334"/>
      <c r="X230" s="334"/>
      <c r="Y230" s="334"/>
      <c r="Z230" s="334"/>
      <c r="AA230" s="334"/>
    </row>
    <row r="231" spans="1:27" ht="47.25" hidden="1">
      <c r="A231" s="334" t="s">
        <v>3358</v>
      </c>
      <c r="B231" s="335" t="s">
        <v>195</v>
      </c>
      <c r="C231" s="334" t="s">
        <v>3392</v>
      </c>
      <c r="D231" s="334" t="s">
        <v>687</v>
      </c>
      <c r="E231" s="334" t="s">
        <v>3393</v>
      </c>
      <c r="F231" s="334" t="s">
        <v>2993</v>
      </c>
      <c r="G231" s="334" t="s">
        <v>2957</v>
      </c>
      <c r="H231" s="334" t="s">
        <v>3304</v>
      </c>
      <c r="I231" s="334" t="s">
        <v>3113</v>
      </c>
      <c r="J231" s="352" t="s">
        <v>3000</v>
      </c>
      <c r="K231" s="334"/>
      <c r="L231" s="344"/>
      <c r="M231" s="334"/>
      <c r="N231" s="334"/>
      <c r="O231" s="345"/>
      <c r="P231" s="334"/>
      <c r="Q231" s="340"/>
      <c r="R231" s="349"/>
      <c r="S231" s="334"/>
      <c r="T231" s="334"/>
      <c r="U231" s="334"/>
      <c r="V231" s="334"/>
      <c r="W231" s="334"/>
      <c r="X231" s="334"/>
      <c r="Y231" s="334"/>
      <c r="Z231" s="334"/>
      <c r="AA231" s="334"/>
    </row>
    <row r="232" spans="1:27" ht="78.75" hidden="1">
      <c r="A232" s="334" t="s">
        <v>3358</v>
      </c>
      <c r="B232" s="335" t="s">
        <v>274</v>
      </c>
      <c r="C232" s="334" t="s">
        <v>3394</v>
      </c>
      <c r="D232" s="334" t="s">
        <v>690</v>
      </c>
      <c r="E232" s="334" t="s">
        <v>3395</v>
      </c>
      <c r="F232" s="352" t="s">
        <v>2956</v>
      </c>
      <c r="G232" s="334" t="s">
        <v>2957</v>
      </c>
      <c r="H232" s="334" t="s">
        <v>3396</v>
      </c>
      <c r="I232" s="343">
        <v>1</v>
      </c>
      <c r="J232" s="352" t="s">
        <v>2974</v>
      </c>
      <c r="K232" s="334"/>
      <c r="L232" s="344"/>
      <c r="M232" s="334"/>
      <c r="N232" s="334"/>
      <c r="O232" s="345"/>
      <c r="P232" s="334"/>
      <c r="Q232" s="340"/>
      <c r="R232" s="349"/>
      <c r="S232" s="334"/>
      <c r="T232" s="334"/>
      <c r="U232" s="334"/>
      <c r="V232" s="334"/>
      <c r="W232" s="334"/>
      <c r="X232" s="334"/>
      <c r="Y232" s="334"/>
      <c r="Z232" s="334"/>
      <c r="AA232" s="334"/>
    </row>
    <row r="233" spans="1:27" ht="56.45" hidden="1" customHeight="1">
      <c r="A233" s="334" t="s">
        <v>3358</v>
      </c>
      <c r="B233" s="335" t="s">
        <v>274</v>
      </c>
      <c r="C233" s="334" t="s">
        <v>3397</v>
      </c>
      <c r="D233" s="334" t="s">
        <v>694</v>
      </c>
      <c r="E233" s="334" t="s">
        <v>3398</v>
      </c>
      <c r="F233" s="352" t="s">
        <v>3272</v>
      </c>
      <c r="G233" s="334" t="s">
        <v>2957</v>
      </c>
      <c r="H233" s="334" t="s">
        <v>3399</v>
      </c>
      <c r="I233" s="334" t="s">
        <v>3400</v>
      </c>
      <c r="J233" s="352" t="s">
        <v>2974</v>
      </c>
      <c r="K233" s="334"/>
      <c r="L233" s="344"/>
      <c r="M233" s="334"/>
      <c r="N233" s="334"/>
      <c r="O233" s="345"/>
      <c r="P233" s="334"/>
      <c r="Q233" s="340"/>
      <c r="R233" s="349"/>
      <c r="S233" s="334"/>
      <c r="T233" s="334"/>
      <c r="U233" s="334"/>
      <c r="V233" s="334"/>
      <c r="W233" s="334"/>
      <c r="X233" s="334"/>
      <c r="Y233" s="334"/>
      <c r="Z233" s="334"/>
      <c r="AA233" s="334"/>
    </row>
    <row r="234" spans="1:27" ht="78.75" hidden="1">
      <c r="A234" s="334" t="s">
        <v>3358</v>
      </c>
      <c r="B234" s="335" t="s">
        <v>274</v>
      </c>
      <c r="C234" s="334" t="s">
        <v>3397</v>
      </c>
      <c r="D234" s="334" t="s">
        <v>698</v>
      </c>
      <c r="E234" s="334" t="s">
        <v>3401</v>
      </c>
      <c r="F234" s="352" t="s">
        <v>3272</v>
      </c>
      <c r="G234" s="334" t="s">
        <v>2957</v>
      </c>
      <c r="H234" s="334" t="s">
        <v>3402</v>
      </c>
      <c r="I234" s="334" t="s">
        <v>3403</v>
      </c>
      <c r="J234" s="352" t="s">
        <v>3000</v>
      </c>
      <c r="K234" s="334"/>
      <c r="L234" s="344"/>
      <c r="M234" s="334"/>
      <c r="N234" s="334"/>
      <c r="O234" s="345"/>
      <c r="P234" s="334"/>
      <c r="Q234" s="340"/>
      <c r="R234" s="349"/>
      <c r="S234" s="334"/>
      <c r="T234" s="334"/>
      <c r="U234" s="334"/>
      <c r="V234" s="334"/>
      <c r="W234" s="334"/>
      <c r="X234" s="334"/>
      <c r="Y234" s="334"/>
      <c r="Z234" s="334"/>
      <c r="AA234" s="334"/>
    </row>
    <row r="235" spans="1:27" ht="63" hidden="1">
      <c r="A235" s="334" t="s">
        <v>3358</v>
      </c>
      <c r="B235" s="335" t="s">
        <v>274</v>
      </c>
      <c r="C235" s="334" t="s">
        <v>3397</v>
      </c>
      <c r="D235" s="334" t="s">
        <v>702</v>
      </c>
      <c r="E235" s="334" t="s">
        <v>3316</v>
      </c>
      <c r="F235" s="352" t="s">
        <v>2956</v>
      </c>
      <c r="G235" s="334" t="s">
        <v>2957</v>
      </c>
      <c r="H235" s="334" t="s">
        <v>3404</v>
      </c>
      <c r="I235" s="334" t="s">
        <v>3403</v>
      </c>
      <c r="J235" s="352" t="s">
        <v>3000</v>
      </c>
      <c r="K235" s="334"/>
      <c r="L235" s="344"/>
      <c r="M235" s="334"/>
      <c r="N235" s="334"/>
      <c r="O235" s="345"/>
      <c r="P235" s="334"/>
      <c r="Q235" s="340"/>
      <c r="R235" s="349"/>
      <c r="S235" s="334"/>
      <c r="T235" s="334"/>
      <c r="U235" s="334"/>
      <c r="V235" s="334"/>
      <c r="W235" s="334"/>
      <c r="X235" s="334"/>
      <c r="Y235" s="334"/>
      <c r="Z235" s="334"/>
      <c r="AA235" s="334"/>
    </row>
    <row r="236" spans="1:27" ht="47.25" hidden="1">
      <c r="A236" s="442" t="s">
        <v>3358</v>
      </c>
      <c r="B236" s="477" t="s">
        <v>274</v>
      </c>
      <c r="C236" s="442" t="s">
        <v>704</v>
      </c>
      <c r="D236" s="442" t="s">
        <v>582</v>
      </c>
      <c r="E236" s="442" t="s">
        <v>582</v>
      </c>
      <c r="F236" s="442" t="s">
        <v>582</v>
      </c>
      <c r="G236" s="442" t="s">
        <v>582</v>
      </c>
      <c r="H236" s="442" t="s">
        <v>582</v>
      </c>
      <c r="I236" s="442" t="s">
        <v>582</v>
      </c>
      <c r="J236" s="442" t="s">
        <v>582</v>
      </c>
      <c r="K236" s="442" t="s">
        <v>582</v>
      </c>
      <c r="L236" s="442" t="s">
        <v>582</v>
      </c>
      <c r="M236" s="442" t="s">
        <v>582</v>
      </c>
      <c r="N236" s="442" t="s">
        <v>582</v>
      </c>
      <c r="O236" s="442" t="s">
        <v>582</v>
      </c>
      <c r="P236" s="442" t="s">
        <v>582</v>
      </c>
      <c r="R236" s="446" t="s">
        <v>582</v>
      </c>
      <c r="S236" s="442" t="s">
        <v>582</v>
      </c>
      <c r="T236" s="442" t="s">
        <v>582</v>
      </c>
      <c r="U236" s="442"/>
      <c r="V236" s="442" t="s">
        <v>582</v>
      </c>
      <c r="W236" s="442" t="s">
        <v>582</v>
      </c>
      <c r="X236" s="442" t="s">
        <v>582</v>
      </c>
      <c r="Y236" s="442" t="s">
        <v>582</v>
      </c>
      <c r="Z236" s="442" t="s">
        <v>582</v>
      </c>
      <c r="AA236" s="442" t="s">
        <v>582</v>
      </c>
    </row>
    <row r="237" spans="1:27" ht="78.75" hidden="1">
      <c r="A237" s="334" t="s">
        <v>3358</v>
      </c>
      <c r="B237" s="335" t="s">
        <v>274</v>
      </c>
      <c r="C237" s="334" t="s">
        <v>3405</v>
      </c>
      <c r="D237" s="334" t="s">
        <v>706</v>
      </c>
      <c r="E237" s="334" t="s">
        <v>3406</v>
      </c>
      <c r="F237" s="352" t="s">
        <v>2961</v>
      </c>
      <c r="G237" s="334" t="s">
        <v>2957</v>
      </c>
      <c r="H237" s="334" t="s">
        <v>3407</v>
      </c>
      <c r="I237" s="343">
        <v>1</v>
      </c>
      <c r="J237" s="352" t="s">
        <v>3000</v>
      </c>
      <c r="K237" s="334"/>
      <c r="L237" s="344"/>
      <c r="M237" s="334"/>
      <c r="N237" s="334"/>
      <c r="O237" s="345"/>
      <c r="P237" s="334"/>
      <c r="Q237" s="340"/>
      <c r="R237" s="349"/>
      <c r="S237" s="334"/>
      <c r="T237" s="334"/>
      <c r="U237" s="334"/>
      <c r="V237" s="334"/>
      <c r="W237" s="334"/>
      <c r="X237" s="334"/>
      <c r="Y237" s="334"/>
      <c r="Z237" s="334"/>
      <c r="AA237" s="334"/>
    </row>
    <row r="238" spans="1:27" ht="93" hidden="1" customHeight="1">
      <c r="A238" s="334" t="s">
        <v>3358</v>
      </c>
      <c r="B238" s="335" t="s">
        <v>274</v>
      </c>
      <c r="C238" s="334" t="s">
        <v>3405</v>
      </c>
      <c r="D238" s="334" t="s">
        <v>709</v>
      </c>
      <c r="E238" s="334" t="s">
        <v>3408</v>
      </c>
      <c r="F238" s="352" t="s">
        <v>2956</v>
      </c>
      <c r="G238" s="334" t="s">
        <v>2957</v>
      </c>
      <c r="H238" s="334" t="s">
        <v>3409</v>
      </c>
      <c r="I238" s="343">
        <v>1</v>
      </c>
      <c r="J238" s="352" t="s">
        <v>3000</v>
      </c>
      <c r="K238" s="334"/>
      <c r="L238" s="344"/>
      <c r="M238" s="334"/>
      <c r="N238" s="334"/>
      <c r="O238" s="345"/>
      <c r="P238" s="334"/>
      <c r="Q238" s="340"/>
      <c r="R238" s="349"/>
      <c r="S238" s="334"/>
      <c r="T238" s="334"/>
      <c r="U238" s="334"/>
      <c r="V238" s="334"/>
      <c r="W238" s="334"/>
      <c r="X238" s="334"/>
      <c r="Y238" s="334"/>
      <c r="Z238" s="334"/>
      <c r="AA238" s="334"/>
    </row>
    <row r="239" spans="1:27" ht="65.099999999999994" hidden="1" customHeight="1">
      <c r="A239" s="334" t="s">
        <v>3358</v>
      </c>
      <c r="B239" s="335" t="s">
        <v>274</v>
      </c>
      <c r="C239" s="334" t="s">
        <v>3405</v>
      </c>
      <c r="D239" s="334" t="s">
        <v>712</v>
      </c>
      <c r="E239" s="334" t="s">
        <v>3410</v>
      </c>
      <c r="F239" s="352" t="s">
        <v>2956</v>
      </c>
      <c r="G239" s="334" t="s">
        <v>2957</v>
      </c>
      <c r="H239" s="334" t="s">
        <v>3411</v>
      </c>
      <c r="I239" s="343">
        <v>1</v>
      </c>
      <c r="J239" s="352" t="s">
        <v>2974</v>
      </c>
      <c r="K239" s="334"/>
      <c r="L239" s="344"/>
      <c r="M239" s="334"/>
      <c r="N239" s="334"/>
      <c r="O239" s="345"/>
      <c r="P239" s="334"/>
      <c r="Q239" s="340"/>
      <c r="R239" s="349"/>
      <c r="S239" s="334"/>
      <c r="T239" s="334"/>
      <c r="U239" s="334"/>
      <c r="V239" s="334"/>
      <c r="W239" s="334"/>
      <c r="X239" s="334"/>
      <c r="Y239" s="334"/>
      <c r="Z239" s="334"/>
      <c r="AA239" s="334"/>
    </row>
    <row r="240" spans="1:27" ht="67.5" hidden="1">
      <c r="A240" s="334" t="s">
        <v>3358</v>
      </c>
      <c r="B240" s="335" t="s">
        <v>3321</v>
      </c>
      <c r="C240" s="334" t="s">
        <v>3412</v>
      </c>
      <c r="D240" s="334" t="s">
        <v>716</v>
      </c>
      <c r="E240" s="334" t="s">
        <v>3413</v>
      </c>
      <c r="F240" s="334" t="s">
        <v>2993</v>
      </c>
      <c r="G240" s="334" t="s">
        <v>2957</v>
      </c>
      <c r="H240" s="334" t="s">
        <v>3324</v>
      </c>
      <c r="I240" s="343">
        <v>1</v>
      </c>
      <c r="J240" s="352" t="s">
        <v>3000</v>
      </c>
      <c r="K240" s="334"/>
      <c r="L240" s="344"/>
      <c r="M240" s="334"/>
      <c r="N240" s="334"/>
      <c r="O240" s="345"/>
      <c r="P240" s="334"/>
      <c r="Q240" s="340"/>
      <c r="R240" s="349"/>
      <c r="S240" s="334"/>
      <c r="T240" s="334"/>
      <c r="U240" s="334"/>
      <c r="V240" s="334"/>
      <c r="W240" s="334"/>
      <c r="X240" s="334"/>
      <c r="Y240" s="334"/>
      <c r="Z240" s="334"/>
      <c r="AA240" s="334"/>
    </row>
    <row r="241" spans="1:27" ht="67.5" hidden="1">
      <c r="A241" s="334" t="s">
        <v>3358</v>
      </c>
      <c r="B241" s="335" t="s">
        <v>3321</v>
      </c>
      <c r="C241" s="334" t="s">
        <v>3412</v>
      </c>
      <c r="D241" s="334" t="s">
        <v>718</v>
      </c>
      <c r="E241" s="334" t="s">
        <v>3173</v>
      </c>
      <c r="F241" s="442"/>
      <c r="G241" s="442" t="s">
        <v>2957</v>
      </c>
      <c r="H241" s="442"/>
      <c r="I241" s="443"/>
      <c r="J241" s="442"/>
      <c r="K241" s="442"/>
      <c r="L241" s="444"/>
      <c r="M241" s="442"/>
      <c r="N241" s="442"/>
      <c r="O241" s="445"/>
      <c r="P241" s="442"/>
      <c r="Q241" s="340"/>
      <c r="R241" s="446"/>
      <c r="S241" s="442"/>
      <c r="T241" s="442"/>
      <c r="U241" s="442"/>
      <c r="V241" s="442"/>
      <c r="W241" s="442"/>
      <c r="X241" s="442"/>
      <c r="Y241" s="442"/>
      <c r="Z241" s="442"/>
      <c r="AA241" s="442"/>
    </row>
    <row r="242" spans="1:27" ht="67.5" hidden="1">
      <c r="A242" s="334" t="s">
        <v>3358</v>
      </c>
      <c r="B242" s="335" t="s">
        <v>3321</v>
      </c>
      <c r="C242" s="334" t="s">
        <v>3412</v>
      </c>
      <c r="D242" s="334" t="s">
        <v>720</v>
      </c>
      <c r="E242" s="348" t="s">
        <v>3325</v>
      </c>
      <c r="F242" s="352" t="s">
        <v>2961</v>
      </c>
      <c r="G242" s="352" t="s">
        <v>2957</v>
      </c>
      <c r="H242" s="352" t="s">
        <v>3173</v>
      </c>
      <c r="I242" s="365">
        <v>1</v>
      </c>
      <c r="J242" s="352" t="s">
        <v>3000</v>
      </c>
      <c r="K242" s="334"/>
      <c r="L242" s="344"/>
      <c r="M242" s="334"/>
      <c r="N242" s="334"/>
      <c r="O242" s="345"/>
      <c r="P242" s="334"/>
      <c r="Q242" s="340"/>
      <c r="R242" s="349"/>
      <c r="S242" s="334"/>
      <c r="T242" s="334"/>
      <c r="U242" s="334"/>
      <c r="V242" s="334"/>
      <c r="W242" s="334"/>
      <c r="X242" s="334"/>
      <c r="Y242" s="334"/>
      <c r="Z242" s="334"/>
      <c r="AA242" s="334"/>
    </row>
    <row r="243" spans="1:27" ht="67.5" hidden="1">
      <c r="A243" s="334" t="s">
        <v>3358</v>
      </c>
      <c r="B243" s="335" t="s">
        <v>3321</v>
      </c>
      <c r="C243" s="334" t="s">
        <v>3412</v>
      </c>
      <c r="D243" s="334" t="s">
        <v>721</v>
      </c>
      <c r="E243" s="348" t="s">
        <v>3327</v>
      </c>
      <c r="F243" s="352" t="s">
        <v>2961</v>
      </c>
      <c r="G243" s="352" t="s">
        <v>2957</v>
      </c>
      <c r="H243" s="352" t="s">
        <v>3173</v>
      </c>
      <c r="I243" s="365">
        <v>1</v>
      </c>
      <c r="J243" s="352" t="s">
        <v>3000</v>
      </c>
      <c r="K243" s="334"/>
      <c r="L243" s="344"/>
      <c r="M243" s="334"/>
      <c r="N243" s="334"/>
      <c r="O243" s="345"/>
      <c r="P243" s="334"/>
      <c r="Q243" s="340"/>
      <c r="R243" s="349"/>
      <c r="S243" s="334"/>
      <c r="T243" s="334"/>
      <c r="U243" s="334"/>
      <c r="V243" s="334"/>
      <c r="W243" s="334"/>
      <c r="X243" s="334"/>
      <c r="Y243" s="334"/>
      <c r="Z243" s="334"/>
      <c r="AA243" s="334"/>
    </row>
    <row r="244" spans="1:27" ht="67.5" hidden="1">
      <c r="A244" s="334" t="s">
        <v>3358</v>
      </c>
      <c r="B244" s="335" t="s">
        <v>3321</v>
      </c>
      <c r="C244" s="334" t="s">
        <v>3412</v>
      </c>
      <c r="D244" s="334" t="s">
        <v>723</v>
      </c>
      <c r="E244" s="348" t="s">
        <v>3329</v>
      </c>
      <c r="F244" s="352" t="s">
        <v>2961</v>
      </c>
      <c r="G244" s="352" t="s">
        <v>2957</v>
      </c>
      <c r="H244" s="352" t="s">
        <v>3173</v>
      </c>
      <c r="I244" s="365">
        <v>1</v>
      </c>
      <c r="J244" s="352" t="s">
        <v>3000</v>
      </c>
      <c r="K244" s="334"/>
      <c r="L244" s="344"/>
      <c r="M244" s="334"/>
      <c r="N244" s="334"/>
      <c r="O244" s="345"/>
      <c r="P244" s="334"/>
      <c r="Q244" s="340"/>
      <c r="R244" s="349"/>
      <c r="S244" s="334"/>
      <c r="T244" s="334"/>
      <c r="U244" s="334"/>
      <c r="V244" s="334"/>
      <c r="W244" s="334"/>
      <c r="X244" s="334"/>
      <c r="Y244" s="334"/>
      <c r="Z244" s="334"/>
      <c r="AA244" s="334"/>
    </row>
    <row r="245" spans="1:27" ht="67.5" hidden="1">
      <c r="A245" s="334" t="s">
        <v>3358</v>
      </c>
      <c r="B245" s="335" t="s">
        <v>3321</v>
      </c>
      <c r="C245" s="334" t="s">
        <v>3412</v>
      </c>
      <c r="D245" s="334" t="s">
        <v>724</v>
      </c>
      <c r="E245" s="348" t="s">
        <v>3414</v>
      </c>
      <c r="F245" s="352" t="s">
        <v>2961</v>
      </c>
      <c r="G245" s="352" t="s">
        <v>2957</v>
      </c>
      <c r="H245" s="352" t="s">
        <v>3173</v>
      </c>
      <c r="I245" s="365">
        <v>1</v>
      </c>
      <c r="J245" s="352" t="s">
        <v>3000</v>
      </c>
      <c r="K245" s="334"/>
      <c r="L245" s="344"/>
      <c r="M245" s="334"/>
      <c r="N245" s="334"/>
      <c r="O245" s="345"/>
      <c r="P245" s="334"/>
      <c r="Q245" s="340"/>
      <c r="R245" s="349"/>
      <c r="S245" s="334"/>
      <c r="T245" s="334"/>
      <c r="U245" s="334"/>
      <c r="V245" s="334"/>
      <c r="W245" s="334"/>
      <c r="X245" s="334"/>
      <c r="Y245" s="334"/>
      <c r="Z245" s="334"/>
      <c r="AA245" s="334"/>
    </row>
    <row r="246" spans="1:27" ht="67.5" hidden="1">
      <c r="A246" s="334" t="s">
        <v>3358</v>
      </c>
      <c r="B246" s="335" t="s">
        <v>3321</v>
      </c>
      <c r="C246" s="334" t="s">
        <v>3412</v>
      </c>
      <c r="D246" s="334" t="s">
        <v>725</v>
      </c>
      <c r="E246" s="348" t="s">
        <v>3332</v>
      </c>
      <c r="F246" s="334" t="s">
        <v>2966</v>
      </c>
      <c r="G246" s="352" t="s">
        <v>2957</v>
      </c>
      <c r="H246" s="352" t="s">
        <v>3173</v>
      </c>
      <c r="I246" s="365">
        <v>1</v>
      </c>
      <c r="J246" s="352" t="s">
        <v>3000</v>
      </c>
      <c r="K246" s="334"/>
      <c r="L246" s="344"/>
      <c r="M246" s="334"/>
      <c r="N246" s="334"/>
      <c r="O246" s="345"/>
      <c r="P246" s="334"/>
      <c r="Q246" s="340"/>
      <c r="R246" s="349"/>
      <c r="S246" s="334"/>
      <c r="T246" s="334"/>
      <c r="U246" s="334"/>
      <c r="V246" s="334"/>
      <c r="W246" s="334"/>
      <c r="X246" s="334"/>
      <c r="Y246" s="334"/>
      <c r="Z246" s="334"/>
      <c r="AA246" s="334"/>
    </row>
    <row r="247" spans="1:27" ht="67.5" hidden="1">
      <c r="A247" s="334" t="s">
        <v>3358</v>
      </c>
      <c r="B247" s="335" t="s">
        <v>3321</v>
      </c>
      <c r="C247" s="334" t="s">
        <v>3412</v>
      </c>
      <c r="D247" s="334" t="s">
        <v>726</v>
      </c>
      <c r="E247" s="348" t="s">
        <v>3415</v>
      </c>
      <c r="F247" s="334" t="s">
        <v>2966</v>
      </c>
      <c r="G247" s="352" t="s">
        <v>2957</v>
      </c>
      <c r="H247" s="352" t="s">
        <v>3173</v>
      </c>
      <c r="I247" s="365">
        <v>1</v>
      </c>
      <c r="J247" s="352" t="s">
        <v>3000</v>
      </c>
      <c r="K247" s="334"/>
      <c r="L247" s="344"/>
      <c r="M247" s="334"/>
      <c r="N247" s="334"/>
      <c r="O247" s="345"/>
      <c r="P247" s="334"/>
      <c r="Q247" s="340"/>
      <c r="R247" s="349"/>
      <c r="S247" s="334"/>
      <c r="T247" s="334"/>
      <c r="U247" s="334"/>
      <c r="V247" s="334"/>
      <c r="W247" s="334"/>
      <c r="X247" s="334"/>
      <c r="Y247" s="334"/>
      <c r="Z247" s="334"/>
      <c r="AA247" s="334"/>
    </row>
    <row r="248" spans="1:27" ht="67.5" hidden="1">
      <c r="A248" s="334" t="s">
        <v>3358</v>
      </c>
      <c r="B248" s="335" t="s">
        <v>3321</v>
      </c>
      <c r="C248" s="334" t="s">
        <v>3412</v>
      </c>
      <c r="D248" s="334" t="s">
        <v>728</v>
      </c>
      <c r="E248" s="348" t="s">
        <v>3416</v>
      </c>
      <c r="F248" s="352" t="s">
        <v>2956</v>
      </c>
      <c r="G248" s="352" t="s">
        <v>2957</v>
      </c>
      <c r="H248" s="352" t="s">
        <v>3173</v>
      </c>
      <c r="I248" s="365">
        <v>1</v>
      </c>
      <c r="J248" s="352" t="s">
        <v>3000</v>
      </c>
      <c r="K248" s="334"/>
      <c r="L248" s="344"/>
      <c r="M248" s="334"/>
      <c r="N248" s="334"/>
      <c r="O248" s="345"/>
      <c r="P248" s="334"/>
      <c r="Q248" s="340"/>
      <c r="R248" s="349"/>
      <c r="S248" s="334"/>
      <c r="T248" s="334"/>
      <c r="U248" s="334"/>
      <c r="V248" s="334"/>
      <c r="W248" s="334"/>
      <c r="X248" s="334"/>
      <c r="Y248" s="334"/>
      <c r="Z248" s="334"/>
      <c r="AA248" s="334"/>
    </row>
    <row r="249" spans="1:27" ht="72.599999999999994" hidden="1" customHeight="1">
      <c r="A249" s="334" t="s">
        <v>3358</v>
      </c>
      <c r="B249" s="335" t="s">
        <v>3321</v>
      </c>
      <c r="C249" s="334" t="s">
        <v>3412</v>
      </c>
      <c r="D249" s="334" t="s">
        <v>730</v>
      </c>
      <c r="E249" s="348" t="s">
        <v>3417</v>
      </c>
      <c r="F249" s="352" t="s">
        <v>2956</v>
      </c>
      <c r="G249" s="352" t="s">
        <v>2957</v>
      </c>
      <c r="H249" s="352" t="s">
        <v>3173</v>
      </c>
      <c r="I249" s="365">
        <v>1</v>
      </c>
      <c r="J249" s="352" t="s">
        <v>3000</v>
      </c>
      <c r="K249" s="334"/>
      <c r="L249" s="344"/>
      <c r="M249" s="334"/>
      <c r="N249" s="334"/>
      <c r="O249" s="345"/>
      <c r="P249" s="334"/>
      <c r="Q249" s="340"/>
      <c r="R249" s="349"/>
      <c r="S249" s="334"/>
      <c r="T249" s="334"/>
      <c r="U249" s="334"/>
      <c r="V249" s="334"/>
      <c r="W249" s="334"/>
      <c r="X249" s="334"/>
      <c r="Y249" s="334"/>
      <c r="Z249" s="334"/>
      <c r="AA249" s="334"/>
    </row>
    <row r="250" spans="1:27" ht="46.5" hidden="1" customHeight="1">
      <c r="A250" s="334" t="s">
        <v>18</v>
      </c>
      <c r="B250" s="335" t="s">
        <v>587</v>
      </c>
      <c r="C250" s="334" t="s">
        <v>3418</v>
      </c>
      <c r="D250" s="334" t="s">
        <v>733</v>
      </c>
      <c r="E250" s="334" t="s">
        <v>3419</v>
      </c>
      <c r="F250" s="334" t="s">
        <v>2966</v>
      </c>
      <c r="G250" s="352" t="s">
        <v>2967</v>
      </c>
      <c r="H250" s="352" t="s">
        <v>3420</v>
      </c>
      <c r="I250" s="343">
        <v>1</v>
      </c>
      <c r="J250" s="334"/>
      <c r="K250" s="334"/>
      <c r="L250" s="344"/>
      <c r="M250" s="334"/>
      <c r="N250" s="334"/>
      <c r="O250" s="345"/>
      <c r="P250" s="334"/>
      <c r="Q250" s="340"/>
      <c r="R250" s="349"/>
      <c r="S250" s="334"/>
      <c r="T250" s="334"/>
      <c r="U250" s="334"/>
      <c r="V250" s="334"/>
      <c r="W250" s="334"/>
      <c r="X250" s="334"/>
      <c r="Y250" s="334"/>
      <c r="Z250" s="334"/>
      <c r="AA250" s="334"/>
    </row>
    <row r="251" spans="1:27" ht="63" hidden="1">
      <c r="A251" s="334" t="s">
        <v>3358</v>
      </c>
      <c r="B251" s="335" t="s">
        <v>3421</v>
      </c>
      <c r="C251" s="334" t="s">
        <v>3418</v>
      </c>
      <c r="D251" s="334" t="s">
        <v>736</v>
      </c>
      <c r="E251" s="334" t="s">
        <v>3419</v>
      </c>
      <c r="F251" s="334" t="s">
        <v>2966</v>
      </c>
      <c r="G251" s="352" t="s">
        <v>2954</v>
      </c>
      <c r="H251" s="352" t="s">
        <v>3217</v>
      </c>
      <c r="I251" s="366">
        <v>1</v>
      </c>
      <c r="J251" s="352" t="s">
        <v>3000</v>
      </c>
      <c r="K251" s="334"/>
      <c r="L251" s="344"/>
      <c r="M251" s="334"/>
      <c r="N251" s="334"/>
      <c r="O251" s="345"/>
      <c r="P251" s="334"/>
      <c r="Q251" s="340"/>
      <c r="R251" s="349"/>
      <c r="S251" s="334"/>
      <c r="T251" s="334"/>
      <c r="U251" s="334"/>
      <c r="V251" s="334"/>
      <c r="W251" s="334"/>
      <c r="X251" s="334"/>
      <c r="Y251" s="334"/>
      <c r="Z251" s="334"/>
      <c r="AA251" s="334"/>
    </row>
    <row r="252" spans="1:27" ht="94.5" hidden="1">
      <c r="A252" s="334" t="s">
        <v>3358</v>
      </c>
      <c r="B252" s="335" t="s">
        <v>3321</v>
      </c>
      <c r="C252" s="334" t="s">
        <v>3422</v>
      </c>
      <c r="D252" s="334" t="s">
        <v>738</v>
      </c>
      <c r="E252" s="480" t="s">
        <v>3423</v>
      </c>
      <c r="F252" s="352" t="s">
        <v>2964</v>
      </c>
      <c r="G252" s="352" t="s">
        <v>2957</v>
      </c>
      <c r="H252" s="481" t="s">
        <v>3424</v>
      </c>
      <c r="I252" s="482">
        <v>1</v>
      </c>
      <c r="J252" s="352" t="s">
        <v>3000</v>
      </c>
      <c r="K252" s="334"/>
      <c r="L252" s="344"/>
      <c r="M252" s="334"/>
      <c r="N252" s="334"/>
      <c r="O252" s="345"/>
      <c r="P252" s="334"/>
      <c r="Q252" s="340"/>
      <c r="R252" s="349"/>
      <c r="S252" s="334"/>
      <c r="T252" s="334"/>
      <c r="U252" s="334"/>
      <c r="V252" s="334"/>
      <c r="W252" s="334"/>
      <c r="X252" s="334"/>
      <c r="Y252" s="334"/>
      <c r="Z252" s="334"/>
      <c r="AA252" s="334"/>
    </row>
    <row r="253" spans="1:27" ht="94.5" hidden="1">
      <c r="A253" s="334" t="s">
        <v>3358</v>
      </c>
      <c r="B253" s="335" t="s">
        <v>3321</v>
      </c>
      <c r="C253" s="334" t="s">
        <v>3422</v>
      </c>
      <c r="D253" s="334" t="s">
        <v>740</v>
      </c>
      <c r="E253" s="480" t="s">
        <v>3425</v>
      </c>
      <c r="F253" s="352" t="s">
        <v>2961</v>
      </c>
      <c r="G253" s="352" t="s">
        <v>2957</v>
      </c>
      <c r="H253" s="481" t="s">
        <v>3426</v>
      </c>
      <c r="I253" s="482">
        <v>1</v>
      </c>
      <c r="J253" s="352" t="s">
        <v>3000</v>
      </c>
      <c r="K253" s="334"/>
      <c r="L253" s="344"/>
      <c r="M253" s="334"/>
      <c r="N253" s="334"/>
      <c r="O253" s="345"/>
      <c r="P253" s="334"/>
      <c r="Q253" s="340"/>
      <c r="R253" s="349"/>
      <c r="S253" s="334"/>
      <c r="T253" s="334"/>
      <c r="U253" s="334"/>
      <c r="V253" s="334"/>
      <c r="W253" s="334"/>
      <c r="X253" s="334"/>
      <c r="Y253" s="334"/>
      <c r="Z253" s="334"/>
      <c r="AA253" s="334"/>
    </row>
    <row r="254" spans="1:27" ht="94.5" hidden="1">
      <c r="A254" s="334" t="s">
        <v>3358</v>
      </c>
      <c r="B254" s="335" t="s">
        <v>3321</v>
      </c>
      <c r="C254" s="334" t="s">
        <v>3422</v>
      </c>
      <c r="D254" s="334" t="s">
        <v>743</v>
      </c>
      <c r="E254" s="480" t="s">
        <v>3427</v>
      </c>
      <c r="F254" s="352" t="s">
        <v>2956</v>
      </c>
      <c r="G254" s="352" t="s">
        <v>2957</v>
      </c>
      <c r="H254" s="481" t="s">
        <v>3428</v>
      </c>
      <c r="I254" s="482">
        <v>0.5</v>
      </c>
      <c r="J254" s="352" t="s">
        <v>3000</v>
      </c>
      <c r="K254" s="334"/>
      <c r="L254" s="344"/>
      <c r="M254" s="334"/>
      <c r="N254" s="334"/>
      <c r="O254" s="345"/>
      <c r="P254" s="334"/>
      <c r="Q254" s="340"/>
      <c r="R254" s="349"/>
      <c r="S254" s="334"/>
      <c r="T254" s="334"/>
      <c r="U254" s="334"/>
      <c r="V254" s="334"/>
      <c r="W254" s="334"/>
      <c r="X254" s="334"/>
      <c r="Y254" s="334"/>
      <c r="Z254" s="334"/>
      <c r="AA254" s="334"/>
    </row>
    <row r="255" spans="1:27" ht="46.5" hidden="1" customHeight="1">
      <c r="A255" s="334" t="s">
        <v>3358</v>
      </c>
      <c r="B255" s="335" t="s">
        <v>3321</v>
      </c>
      <c r="C255" s="334" t="s">
        <v>3429</v>
      </c>
      <c r="D255" s="334" t="s">
        <v>747</v>
      </c>
      <c r="E255" s="334" t="s">
        <v>3430</v>
      </c>
      <c r="F255" s="334" t="s">
        <v>2966</v>
      </c>
      <c r="G255" s="352" t="s">
        <v>2957</v>
      </c>
      <c r="H255" s="352" t="s">
        <v>3431</v>
      </c>
      <c r="I255" s="365">
        <v>0.5</v>
      </c>
      <c r="J255" s="352" t="s">
        <v>3000</v>
      </c>
      <c r="K255" s="334"/>
      <c r="L255" s="344"/>
      <c r="M255" s="334"/>
      <c r="N255" s="334"/>
      <c r="O255" s="345"/>
      <c r="P255" s="334"/>
      <c r="Q255" s="340"/>
      <c r="R255" s="349"/>
      <c r="S255" s="334"/>
      <c r="T255" s="334"/>
      <c r="U255" s="334"/>
      <c r="V255" s="334"/>
      <c r="W255" s="334"/>
      <c r="X255" s="334"/>
      <c r="Y255" s="334"/>
      <c r="Z255" s="334"/>
      <c r="AA255" s="334"/>
    </row>
    <row r="256" spans="1:27" hidden="1">
      <c r="A256" s="401" t="s">
        <v>3432</v>
      </c>
      <c r="B256" s="402"/>
      <c r="C256" s="403"/>
      <c r="D256" s="403"/>
      <c r="E256" s="403"/>
      <c r="F256" s="403"/>
      <c r="G256" s="403"/>
      <c r="H256" s="403"/>
      <c r="I256" s="404"/>
      <c r="J256" s="404"/>
      <c r="K256" s="403"/>
      <c r="L256" s="403"/>
      <c r="M256" s="403"/>
      <c r="N256" s="403"/>
      <c r="O256" s="403"/>
      <c r="P256" s="405"/>
      <c r="Q256" s="406"/>
      <c r="R256" s="407"/>
      <c r="S256" s="403"/>
      <c r="T256" s="403"/>
      <c r="U256" s="403"/>
      <c r="V256" s="403"/>
      <c r="W256" s="403"/>
      <c r="X256" s="403"/>
      <c r="Y256" s="403"/>
      <c r="Z256" s="403"/>
      <c r="AA256" s="403"/>
    </row>
    <row r="257" spans="1:27" ht="78" hidden="1" customHeight="1">
      <c r="A257" s="334" t="s">
        <v>3433</v>
      </c>
      <c r="B257" s="408" t="s">
        <v>2951</v>
      </c>
      <c r="C257" s="409" t="s">
        <v>3434</v>
      </c>
      <c r="D257" s="409" t="s">
        <v>752</v>
      </c>
      <c r="E257" s="409" t="s">
        <v>3435</v>
      </c>
      <c r="F257" s="442"/>
      <c r="G257" s="442" t="s">
        <v>2957</v>
      </c>
      <c r="H257" s="442"/>
      <c r="I257" s="443"/>
      <c r="J257" s="442"/>
      <c r="K257" s="442"/>
      <c r="L257" s="444"/>
      <c r="M257" s="442"/>
      <c r="N257" s="442"/>
      <c r="O257" s="445"/>
      <c r="P257" s="442"/>
      <c r="Q257" s="340"/>
      <c r="R257" s="446"/>
      <c r="S257" s="442"/>
      <c r="T257" s="442"/>
      <c r="U257" s="442"/>
      <c r="V257" s="442"/>
      <c r="W257" s="442"/>
      <c r="X257" s="442"/>
      <c r="Y257" s="442"/>
      <c r="Z257" s="442"/>
      <c r="AA257" s="442"/>
    </row>
    <row r="258" spans="1:27" ht="72.75" hidden="1" customHeight="1">
      <c r="A258" s="334" t="s">
        <v>3433</v>
      </c>
      <c r="B258" s="408" t="s">
        <v>2951</v>
      </c>
      <c r="C258" s="409" t="s">
        <v>3434</v>
      </c>
      <c r="D258" s="409" t="s">
        <v>755</v>
      </c>
      <c r="E258" s="348" t="s">
        <v>3436</v>
      </c>
      <c r="F258" s="352" t="s">
        <v>2993</v>
      </c>
      <c r="G258" s="483" t="s">
        <v>2957</v>
      </c>
      <c r="H258" s="483" t="s">
        <v>3437</v>
      </c>
      <c r="I258" s="483" t="s">
        <v>3253</v>
      </c>
      <c r="J258" s="352" t="s">
        <v>3000</v>
      </c>
      <c r="K258" s="334"/>
      <c r="L258" s="344"/>
      <c r="M258" s="334"/>
      <c r="N258" s="334"/>
      <c r="O258" s="345"/>
      <c r="P258" s="334"/>
      <c r="Q258" s="340"/>
      <c r="R258" s="349"/>
      <c r="S258" s="334"/>
      <c r="T258" s="334"/>
      <c r="U258" s="334"/>
      <c r="V258" s="334"/>
      <c r="W258" s="334"/>
      <c r="X258" s="334"/>
      <c r="Y258" s="334"/>
      <c r="Z258" s="334"/>
      <c r="AA258" s="334"/>
    </row>
    <row r="259" spans="1:27" ht="98.25" hidden="1" customHeight="1">
      <c r="A259" s="334" t="s">
        <v>3433</v>
      </c>
      <c r="B259" s="408" t="s">
        <v>2951</v>
      </c>
      <c r="C259" s="409" t="s">
        <v>3434</v>
      </c>
      <c r="D259" s="409" t="s">
        <v>757</v>
      </c>
      <c r="E259" s="348" t="s">
        <v>3438</v>
      </c>
      <c r="F259" s="352" t="s">
        <v>3371</v>
      </c>
      <c r="G259" s="483" t="s">
        <v>2957</v>
      </c>
      <c r="H259" s="483" t="s">
        <v>3437</v>
      </c>
      <c r="I259" s="483" t="s">
        <v>3253</v>
      </c>
      <c r="J259" s="352" t="s">
        <v>3000</v>
      </c>
      <c r="K259" s="334"/>
      <c r="L259" s="344"/>
      <c r="M259" s="334"/>
      <c r="N259" s="334"/>
      <c r="O259" s="345"/>
      <c r="P259" s="334"/>
      <c r="Q259" s="340"/>
      <c r="R259" s="349"/>
      <c r="S259" s="334"/>
      <c r="T259" s="334"/>
      <c r="U259" s="334"/>
      <c r="V259" s="334"/>
      <c r="W259" s="334"/>
      <c r="X259" s="334"/>
      <c r="Y259" s="334"/>
      <c r="Z259" s="334"/>
      <c r="AA259" s="334"/>
    </row>
    <row r="260" spans="1:27" ht="47.25" hidden="1">
      <c r="A260" s="334" t="s">
        <v>3433</v>
      </c>
      <c r="B260" s="408" t="s">
        <v>2951</v>
      </c>
      <c r="C260" s="409" t="s">
        <v>3434</v>
      </c>
      <c r="D260" s="409" t="s">
        <v>759</v>
      </c>
      <c r="E260" s="348" t="s">
        <v>3439</v>
      </c>
      <c r="F260" s="334" t="s">
        <v>2966</v>
      </c>
      <c r="G260" s="483" t="s">
        <v>2957</v>
      </c>
      <c r="H260" s="483" t="s">
        <v>3437</v>
      </c>
      <c r="I260" s="483" t="s">
        <v>3253</v>
      </c>
      <c r="J260" s="352" t="s">
        <v>3000</v>
      </c>
      <c r="K260" s="334"/>
      <c r="L260" s="344"/>
      <c r="M260" s="334"/>
      <c r="N260" s="334"/>
      <c r="O260" s="345"/>
      <c r="P260" s="334"/>
      <c r="Q260" s="340"/>
      <c r="R260" s="349"/>
      <c r="S260" s="334"/>
      <c r="T260" s="334"/>
      <c r="U260" s="334"/>
      <c r="V260" s="334"/>
      <c r="W260" s="334"/>
      <c r="X260" s="334"/>
      <c r="Y260" s="334"/>
      <c r="Z260" s="334"/>
      <c r="AA260" s="334"/>
    </row>
    <row r="261" spans="1:27" ht="47.25" hidden="1">
      <c r="A261" s="334" t="s">
        <v>3433</v>
      </c>
      <c r="B261" s="408" t="s">
        <v>2951</v>
      </c>
      <c r="C261" s="409" t="s">
        <v>3434</v>
      </c>
      <c r="D261" s="409" t="s">
        <v>761</v>
      </c>
      <c r="E261" s="348" t="s">
        <v>3440</v>
      </c>
      <c r="F261" s="352" t="s">
        <v>2993</v>
      </c>
      <c r="G261" s="483" t="s">
        <v>2957</v>
      </c>
      <c r="H261" s="483" t="s">
        <v>3437</v>
      </c>
      <c r="I261" s="483" t="s">
        <v>3253</v>
      </c>
      <c r="J261" s="352" t="s">
        <v>3000</v>
      </c>
      <c r="K261" s="334"/>
      <c r="L261" s="344"/>
      <c r="M261" s="334"/>
      <c r="N261" s="334"/>
      <c r="O261" s="345"/>
      <c r="P261" s="334"/>
      <c r="Q261" s="340"/>
      <c r="R261" s="349"/>
      <c r="S261" s="334"/>
      <c r="T261" s="334"/>
      <c r="U261" s="334"/>
      <c r="V261" s="334"/>
      <c r="W261" s="334"/>
      <c r="X261" s="334"/>
      <c r="Y261" s="334"/>
      <c r="Z261" s="334"/>
      <c r="AA261" s="334"/>
    </row>
    <row r="262" spans="1:27" ht="47.25" hidden="1">
      <c r="A262" s="334" t="s">
        <v>3433</v>
      </c>
      <c r="B262" s="408" t="s">
        <v>2951</v>
      </c>
      <c r="C262" s="409" t="s">
        <v>3434</v>
      </c>
      <c r="D262" s="409" t="s">
        <v>763</v>
      </c>
      <c r="E262" s="348" t="s">
        <v>3441</v>
      </c>
      <c r="F262" s="334" t="s">
        <v>2966</v>
      </c>
      <c r="G262" s="483" t="s">
        <v>2957</v>
      </c>
      <c r="H262" s="483" t="s">
        <v>3437</v>
      </c>
      <c r="I262" s="483" t="s">
        <v>3253</v>
      </c>
      <c r="J262" s="352" t="s">
        <v>3000</v>
      </c>
      <c r="K262" s="334"/>
      <c r="L262" s="344"/>
      <c r="M262" s="334"/>
      <c r="N262" s="334"/>
      <c r="O262" s="345"/>
      <c r="P262" s="334"/>
      <c r="Q262" s="340"/>
      <c r="R262" s="349"/>
      <c r="S262" s="334"/>
      <c r="T262" s="334"/>
      <c r="U262" s="334"/>
      <c r="V262" s="334"/>
      <c r="W262" s="334"/>
      <c r="X262" s="334"/>
      <c r="Y262" s="334"/>
      <c r="Z262" s="334"/>
      <c r="AA262" s="334"/>
    </row>
    <row r="263" spans="1:27" ht="47.25" hidden="1">
      <c r="A263" s="334" t="s">
        <v>3433</v>
      </c>
      <c r="B263" s="408" t="s">
        <v>2951</v>
      </c>
      <c r="C263" s="409" t="s">
        <v>3434</v>
      </c>
      <c r="D263" s="409" t="s">
        <v>765</v>
      </c>
      <c r="E263" s="348" t="s">
        <v>3442</v>
      </c>
      <c r="F263" s="352" t="s">
        <v>2993</v>
      </c>
      <c r="G263" s="483" t="s">
        <v>2957</v>
      </c>
      <c r="H263" s="483" t="s">
        <v>3437</v>
      </c>
      <c r="I263" s="483" t="s">
        <v>3253</v>
      </c>
      <c r="J263" s="352" t="s">
        <v>3000</v>
      </c>
      <c r="K263" s="334"/>
      <c r="L263" s="344"/>
      <c r="M263" s="334"/>
      <c r="N263" s="334"/>
      <c r="O263" s="345"/>
      <c r="P263" s="334"/>
      <c r="Q263" s="340"/>
      <c r="R263" s="349"/>
      <c r="S263" s="334"/>
      <c r="T263" s="334"/>
      <c r="U263" s="334"/>
      <c r="V263" s="334"/>
      <c r="W263" s="334"/>
      <c r="X263" s="334"/>
      <c r="Y263" s="334"/>
      <c r="Z263" s="334"/>
      <c r="AA263" s="334"/>
    </row>
    <row r="264" spans="1:27" ht="47.25" hidden="1">
      <c r="A264" s="334" t="s">
        <v>3433</v>
      </c>
      <c r="B264" s="408" t="s">
        <v>2951</v>
      </c>
      <c r="C264" s="409" t="s">
        <v>3434</v>
      </c>
      <c r="D264" s="409" t="s">
        <v>767</v>
      </c>
      <c r="E264" s="348" t="s">
        <v>3443</v>
      </c>
      <c r="F264" s="352" t="s">
        <v>2993</v>
      </c>
      <c r="G264" s="483" t="s">
        <v>2957</v>
      </c>
      <c r="H264" s="483" t="s">
        <v>3437</v>
      </c>
      <c r="I264" s="483" t="s">
        <v>3253</v>
      </c>
      <c r="J264" s="352" t="s">
        <v>3000</v>
      </c>
      <c r="K264" s="334"/>
      <c r="L264" s="344"/>
      <c r="M264" s="334"/>
      <c r="N264" s="334"/>
      <c r="O264" s="345"/>
      <c r="P264" s="334"/>
      <c r="Q264" s="340"/>
      <c r="R264" s="349"/>
      <c r="S264" s="334"/>
      <c r="T264" s="334"/>
      <c r="U264" s="334"/>
      <c r="V264" s="334"/>
      <c r="W264" s="334"/>
      <c r="X264" s="334"/>
      <c r="Y264" s="334"/>
      <c r="Z264" s="334"/>
      <c r="AA264" s="334"/>
    </row>
    <row r="265" spans="1:27" ht="47.25" hidden="1">
      <c r="A265" s="334" t="s">
        <v>3433</v>
      </c>
      <c r="B265" s="408" t="s">
        <v>2951</v>
      </c>
      <c r="C265" s="409" t="s">
        <v>3434</v>
      </c>
      <c r="D265" s="409" t="s">
        <v>769</v>
      </c>
      <c r="E265" s="348" t="s">
        <v>3444</v>
      </c>
      <c r="F265" s="352" t="s">
        <v>2993</v>
      </c>
      <c r="G265" s="483" t="s">
        <v>2957</v>
      </c>
      <c r="H265" s="483" t="s">
        <v>3437</v>
      </c>
      <c r="I265" s="483" t="s">
        <v>3253</v>
      </c>
      <c r="J265" s="352" t="s">
        <v>3000</v>
      </c>
      <c r="K265" s="334"/>
      <c r="L265" s="344"/>
      <c r="M265" s="334"/>
      <c r="N265" s="334"/>
      <c r="O265" s="345"/>
      <c r="P265" s="334"/>
      <c r="Q265" s="340"/>
      <c r="R265" s="349"/>
      <c r="S265" s="334"/>
      <c r="T265" s="334"/>
      <c r="U265" s="334"/>
      <c r="V265" s="334"/>
      <c r="W265" s="334"/>
      <c r="X265" s="334"/>
      <c r="Y265" s="334"/>
      <c r="Z265" s="334"/>
      <c r="AA265" s="334"/>
    </row>
    <row r="266" spans="1:27" ht="38.450000000000003" hidden="1" customHeight="1">
      <c r="A266" s="334" t="s">
        <v>3433</v>
      </c>
      <c r="B266" s="408" t="s">
        <v>2951</v>
      </c>
      <c r="C266" s="409" t="s">
        <v>3434</v>
      </c>
      <c r="D266" s="409" t="s">
        <v>771</v>
      </c>
      <c r="E266" s="409" t="s">
        <v>3445</v>
      </c>
      <c r="F266" s="334" t="s">
        <v>2966</v>
      </c>
      <c r="G266" s="483" t="s">
        <v>2957</v>
      </c>
      <c r="H266" s="483" t="s">
        <v>3446</v>
      </c>
      <c r="I266" s="483" t="s">
        <v>3023</v>
      </c>
      <c r="J266" s="352" t="s">
        <v>3000</v>
      </c>
      <c r="K266" s="334"/>
      <c r="L266" s="344"/>
      <c r="M266" s="334"/>
      <c r="N266" s="334"/>
      <c r="O266" s="345"/>
      <c r="P266" s="334"/>
      <c r="Q266" s="340"/>
      <c r="R266" s="349"/>
      <c r="S266" s="334"/>
      <c r="T266" s="334"/>
      <c r="U266" s="334"/>
      <c r="V266" s="334"/>
      <c r="W266" s="334"/>
      <c r="X266" s="334"/>
      <c r="Y266" s="334"/>
      <c r="Z266" s="334"/>
      <c r="AA266" s="334"/>
    </row>
    <row r="267" spans="1:27" ht="98.45" hidden="1" customHeight="1">
      <c r="A267" s="334" t="s">
        <v>3433</v>
      </c>
      <c r="B267" s="408" t="s">
        <v>2951</v>
      </c>
      <c r="C267" s="334" t="s">
        <v>3447</v>
      </c>
      <c r="D267" s="334" t="s">
        <v>775</v>
      </c>
      <c r="E267" s="334" t="s">
        <v>3448</v>
      </c>
      <c r="F267" s="352" t="s">
        <v>2964</v>
      </c>
      <c r="G267" s="352" t="s">
        <v>2957</v>
      </c>
      <c r="H267" s="352" t="s">
        <v>3449</v>
      </c>
      <c r="I267" s="352" t="s">
        <v>2981</v>
      </c>
      <c r="J267" s="352" t="s">
        <v>3000</v>
      </c>
      <c r="K267" s="334"/>
      <c r="L267" s="344"/>
      <c r="M267" s="334"/>
      <c r="N267" s="334"/>
      <c r="O267" s="345"/>
      <c r="P267" s="334"/>
      <c r="Q267" s="340"/>
      <c r="R267" s="349"/>
      <c r="S267" s="334"/>
      <c r="T267" s="334"/>
      <c r="U267" s="334"/>
      <c r="V267" s="334"/>
      <c r="W267" s="334"/>
      <c r="X267" s="334"/>
      <c r="Y267" s="334"/>
      <c r="Z267" s="334"/>
      <c r="AA267" s="334"/>
    </row>
    <row r="268" spans="1:27" ht="94.5" hidden="1">
      <c r="A268" s="334" t="s">
        <v>3433</v>
      </c>
      <c r="B268" s="408" t="s">
        <v>2951</v>
      </c>
      <c r="C268" s="334" t="s">
        <v>3447</v>
      </c>
      <c r="D268" s="334" t="s">
        <v>778</v>
      </c>
      <c r="E268" s="334" t="s">
        <v>3450</v>
      </c>
      <c r="F268" s="334" t="s">
        <v>2966</v>
      </c>
      <c r="G268" s="352" t="s">
        <v>2957</v>
      </c>
      <c r="H268" s="352" t="s">
        <v>3451</v>
      </c>
      <c r="I268" s="352">
        <v>5</v>
      </c>
      <c r="J268" s="352" t="s">
        <v>3000</v>
      </c>
      <c r="K268" s="334"/>
      <c r="L268" s="344"/>
      <c r="M268" s="334"/>
      <c r="N268" s="334"/>
      <c r="O268" s="345"/>
      <c r="P268" s="334"/>
      <c r="Q268" s="340"/>
      <c r="R268" s="349"/>
      <c r="S268" s="334"/>
      <c r="T268" s="334"/>
      <c r="U268" s="334"/>
      <c r="V268" s="334"/>
      <c r="W268" s="334"/>
      <c r="X268" s="334"/>
      <c r="Y268" s="334"/>
      <c r="Z268" s="334"/>
      <c r="AA268" s="334"/>
    </row>
    <row r="269" spans="1:27" ht="94.5" hidden="1">
      <c r="A269" s="334" t="s">
        <v>3433</v>
      </c>
      <c r="B269" s="408" t="s">
        <v>2951</v>
      </c>
      <c r="C269" s="334" t="s">
        <v>3447</v>
      </c>
      <c r="D269" s="334" t="s">
        <v>781</v>
      </c>
      <c r="E269" s="334" t="s">
        <v>3452</v>
      </c>
      <c r="F269" s="334" t="s">
        <v>2964</v>
      </c>
      <c r="G269" s="352" t="s">
        <v>2957</v>
      </c>
      <c r="H269" s="352" t="s">
        <v>3453</v>
      </c>
      <c r="I269" s="365">
        <v>0.5</v>
      </c>
      <c r="J269" s="352" t="s">
        <v>3000</v>
      </c>
      <c r="K269" s="334"/>
      <c r="L269" s="344"/>
      <c r="M269" s="334"/>
      <c r="N269" s="334"/>
      <c r="O269" s="345"/>
      <c r="P269" s="334"/>
      <c r="Q269" s="340"/>
      <c r="R269" s="349"/>
      <c r="S269" s="334"/>
      <c r="T269" s="334"/>
      <c r="U269" s="334"/>
      <c r="V269" s="334"/>
      <c r="W269" s="334"/>
      <c r="X269" s="334"/>
      <c r="Y269" s="334"/>
      <c r="Z269" s="334"/>
      <c r="AA269" s="334"/>
    </row>
    <row r="270" spans="1:27" ht="123" hidden="1" customHeight="1">
      <c r="A270" s="334" t="s">
        <v>3433</v>
      </c>
      <c r="B270" s="408" t="s">
        <v>2951</v>
      </c>
      <c r="C270" s="334" t="s">
        <v>3447</v>
      </c>
      <c r="D270" s="334" t="s">
        <v>784</v>
      </c>
      <c r="E270" s="334" t="s">
        <v>3454</v>
      </c>
      <c r="F270" s="334" t="s">
        <v>2993</v>
      </c>
      <c r="G270" s="352" t="s">
        <v>2957</v>
      </c>
      <c r="H270" s="352" t="s">
        <v>3455</v>
      </c>
      <c r="I270" s="352" t="s">
        <v>3456</v>
      </c>
      <c r="J270" s="352" t="s">
        <v>3000</v>
      </c>
      <c r="K270" s="334"/>
      <c r="L270" s="344"/>
      <c r="M270" s="334"/>
      <c r="N270" s="334"/>
      <c r="O270" s="345"/>
      <c r="P270" s="334"/>
      <c r="Q270" s="340"/>
      <c r="R270" s="349"/>
      <c r="S270" s="334"/>
      <c r="T270" s="334"/>
      <c r="U270" s="334"/>
      <c r="V270" s="334"/>
      <c r="W270" s="334"/>
      <c r="X270" s="334"/>
      <c r="Y270" s="334"/>
      <c r="Z270" s="334"/>
      <c r="AA270" s="334"/>
    </row>
    <row r="271" spans="1:27" ht="94.5" hidden="1">
      <c r="A271" s="334" t="s">
        <v>3433</v>
      </c>
      <c r="B271" s="408" t="s">
        <v>2951</v>
      </c>
      <c r="C271" s="334" t="s">
        <v>3447</v>
      </c>
      <c r="D271" s="334" t="s">
        <v>787</v>
      </c>
      <c r="E271" s="334" t="s">
        <v>3457</v>
      </c>
      <c r="F271" s="352" t="s">
        <v>2964</v>
      </c>
      <c r="G271" s="334" t="s">
        <v>2957</v>
      </c>
      <c r="H271" s="334" t="s">
        <v>3458</v>
      </c>
      <c r="I271" s="343">
        <v>1</v>
      </c>
      <c r="J271" s="352" t="s">
        <v>3000</v>
      </c>
      <c r="K271" s="334"/>
      <c r="L271" s="344"/>
      <c r="M271" s="334"/>
      <c r="N271" s="334"/>
      <c r="O271" s="345"/>
      <c r="P271" s="334"/>
      <c r="Q271" s="340"/>
      <c r="R271" s="349"/>
      <c r="S271" s="334"/>
      <c r="T271" s="334"/>
      <c r="U271" s="334"/>
      <c r="V271" s="334"/>
      <c r="W271" s="334"/>
      <c r="X271" s="334"/>
      <c r="Y271" s="334"/>
      <c r="Z271" s="334"/>
      <c r="AA271" s="334"/>
    </row>
    <row r="272" spans="1:27" ht="94.5" hidden="1">
      <c r="A272" s="334" t="s">
        <v>3433</v>
      </c>
      <c r="B272" s="408" t="s">
        <v>2951</v>
      </c>
      <c r="C272" s="334" t="s">
        <v>3447</v>
      </c>
      <c r="D272" s="334" t="s">
        <v>790</v>
      </c>
      <c r="E272" s="334" t="s">
        <v>3459</v>
      </c>
      <c r="F272" s="334" t="s">
        <v>2956</v>
      </c>
      <c r="G272" s="334" t="s">
        <v>2957</v>
      </c>
      <c r="H272" s="334" t="s">
        <v>3458</v>
      </c>
      <c r="I272" s="343">
        <v>1</v>
      </c>
      <c r="J272" s="352" t="s">
        <v>3000</v>
      </c>
      <c r="K272" s="334"/>
      <c r="L272" s="344"/>
      <c r="M272" s="334"/>
      <c r="N272" s="334"/>
      <c r="O272" s="345"/>
      <c r="P272" s="334"/>
      <c r="Q272" s="340"/>
      <c r="R272" s="349"/>
      <c r="S272" s="334"/>
      <c r="T272" s="334"/>
      <c r="U272" s="334"/>
      <c r="V272" s="334"/>
      <c r="W272" s="334"/>
      <c r="X272" s="334"/>
      <c r="Y272" s="334"/>
      <c r="Z272" s="334"/>
      <c r="AA272" s="334"/>
    </row>
    <row r="273" spans="1:27" ht="31.5" hidden="1" customHeight="1">
      <c r="A273" s="442" t="s">
        <v>3433</v>
      </c>
      <c r="B273" s="484" t="s">
        <v>54</v>
      </c>
      <c r="C273" s="442" t="s">
        <v>792</v>
      </c>
      <c r="D273" s="442" t="s">
        <v>582</v>
      </c>
      <c r="E273" s="442"/>
      <c r="F273" s="442" t="s">
        <v>582</v>
      </c>
      <c r="G273" s="442" t="s">
        <v>582</v>
      </c>
      <c r="H273" s="442" t="s">
        <v>582</v>
      </c>
      <c r="I273" s="442" t="s">
        <v>582</v>
      </c>
      <c r="J273" s="442" t="s">
        <v>582</v>
      </c>
      <c r="K273" s="442" t="s">
        <v>582</v>
      </c>
      <c r="L273" s="442" t="s">
        <v>582</v>
      </c>
      <c r="M273" s="442" t="s">
        <v>582</v>
      </c>
      <c r="N273" s="442" t="s">
        <v>582</v>
      </c>
      <c r="O273" s="442" t="s">
        <v>582</v>
      </c>
      <c r="P273" s="442" t="s">
        <v>582</v>
      </c>
      <c r="R273" s="446" t="s">
        <v>582</v>
      </c>
      <c r="S273" s="442" t="s">
        <v>582</v>
      </c>
      <c r="T273" s="442" t="s">
        <v>582</v>
      </c>
      <c r="U273" s="442"/>
      <c r="V273" s="442" t="s">
        <v>582</v>
      </c>
      <c r="W273" s="442" t="s">
        <v>582</v>
      </c>
      <c r="X273" s="442" t="s">
        <v>582</v>
      </c>
      <c r="Y273" s="442" t="s">
        <v>582</v>
      </c>
      <c r="Z273" s="442" t="s">
        <v>582</v>
      </c>
      <c r="AA273" s="442" t="s">
        <v>582</v>
      </c>
    </row>
    <row r="274" spans="1:27" ht="63" hidden="1">
      <c r="A274" s="334" t="s">
        <v>3433</v>
      </c>
      <c r="B274" s="335" t="s">
        <v>195</v>
      </c>
      <c r="C274" s="334" t="s">
        <v>3460</v>
      </c>
      <c r="D274" s="334" t="s">
        <v>794</v>
      </c>
      <c r="E274" s="334" t="s">
        <v>3461</v>
      </c>
      <c r="F274" s="334" t="s">
        <v>2993</v>
      </c>
      <c r="G274" s="334" t="s">
        <v>2957</v>
      </c>
      <c r="H274" s="334" t="s">
        <v>3462</v>
      </c>
      <c r="I274" s="343">
        <v>1</v>
      </c>
      <c r="J274" s="352" t="s">
        <v>3000</v>
      </c>
      <c r="K274" s="334"/>
      <c r="L274" s="344"/>
      <c r="M274" s="334"/>
      <c r="N274" s="334"/>
      <c r="O274" s="345"/>
      <c r="P274" s="334"/>
      <c r="Q274" s="340"/>
      <c r="R274" s="349"/>
      <c r="S274" s="334"/>
      <c r="T274" s="334"/>
      <c r="U274" s="334"/>
      <c r="V274" s="334"/>
      <c r="W274" s="334"/>
      <c r="X274" s="334"/>
      <c r="Y274" s="334"/>
      <c r="Z274" s="334"/>
      <c r="AA274" s="334"/>
    </row>
    <row r="275" spans="1:27" ht="125.1" hidden="1" customHeight="1">
      <c r="A275" s="334" t="s">
        <v>3433</v>
      </c>
      <c r="B275" s="335" t="s">
        <v>195</v>
      </c>
      <c r="C275" s="334" t="s">
        <v>3460</v>
      </c>
      <c r="D275" s="334" t="s">
        <v>797</v>
      </c>
      <c r="E275" s="334" t="s">
        <v>3463</v>
      </c>
      <c r="F275" s="442"/>
      <c r="G275" s="442" t="s">
        <v>2957</v>
      </c>
      <c r="H275" s="442"/>
      <c r="I275" s="443"/>
      <c r="J275" s="442"/>
      <c r="K275" s="442"/>
      <c r="L275" s="444"/>
      <c r="M275" s="442"/>
      <c r="N275" s="442"/>
      <c r="O275" s="445"/>
      <c r="P275" s="442"/>
      <c r="Q275" s="340"/>
      <c r="R275" s="446"/>
      <c r="S275" s="442"/>
      <c r="T275" s="442"/>
      <c r="U275" s="442"/>
      <c r="V275" s="442"/>
      <c r="W275" s="442"/>
      <c r="X275" s="442"/>
      <c r="Y275" s="442"/>
      <c r="Z275" s="442"/>
      <c r="AA275" s="442"/>
    </row>
    <row r="276" spans="1:27" ht="54.95" hidden="1" customHeight="1">
      <c r="A276" s="334" t="s">
        <v>3433</v>
      </c>
      <c r="B276" s="335" t="s">
        <v>195</v>
      </c>
      <c r="C276" s="334" t="s">
        <v>3460</v>
      </c>
      <c r="D276" s="334" t="s">
        <v>799</v>
      </c>
      <c r="E276" s="348" t="s">
        <v>3464</v>
      </c>
      <c r="F276" s="334" t="s">
        <v>2964</v>
      </c>
      <c r="G276" s="334" t="s">
        <v>2957</v>
      </c>
      <c r="H276" s="334" t="s">
        <v>3465</v>
      </c>
      <c r="I276" s="343">
        <v>1</v>
      </c>
      <c r="J276" s="352" t="s">
        <v>3000</v>
      </c>
      <c r="K276" s="334"/>
      <c r="L276" s="344"/>
      <c r="M276" s="334"/>
      <c r="N276" s="334"/>
      <c r="O276" s="345"/>
      <c r="P276" s="334"/>
      <c r="Q276" s="340"/>
      <c r="R276" s="349"/>
      <c r="S276" s="334"/>
      <c r="T276" s="334"/>
      <c r="U276" s="334"/>
      <c r="V276" s="334"/>
      <c r="W276" s="334"/>
      <c r="X276" s="334"/>
      <c r="Y276" s="334"/>
      <c r="Z276" s="334"/>
      <c r="AA276" s="334"/>
    </row>
    <row r="277" spans="1:27" ht="63" hidden="1">
      <c r="A277" s="334" t="s">
        <v>3433</v>
      </c>
      <c r="B277" s="335" t="s">
        <v>195</v>
      </c>
      <c r="C277" s="334" t="s">
        <v>3460</v>
      </c>
      <c r="D277" s="334" t="s">
        <v>802</v>
      </c>
      <c r="E277" s="348" t="s">
        <v>3466</v>
      </c>
      <c r="F277" s="334" t="s">
        <v>2964</v>
      </c>
      <c r="G277" s="334" t="s">
        <v>2957</v>
      </c>
      <c r="H277" s="334" t="s">
        <v>3467</v>
      </c>
      <c r="I277" s="343">
        <v>1</v>
      </c>
      <c r="J277" s="352" t="s">
        <v>3000</v>
      </c>
      <c r="K277" s="334"/>
      <c r="L277" s="344"/>
      <c r="M277" s="334"/>
      <c r="N277" s="334"/>
      <c r="O277" s="345"/>
      <c r="P277" s="334"/>
      <c r="Q277" s="340"/>
      <c r="R277" s="349"/>
      <c r="S277" s="334"/>
      <c r="T277" s="334"/>
      <c r="U277" s="334"/>
      <c r="V277" s="334"/>
      <c r="W277" s="334"/>
      <c r="X277" s="334"/>
      <c r="Y277" s="334"/>
      <c r="Z277" s="334"/>
      <c r="AA277" s="334"/>
    </row>
    <row r="278" spans="1:27" ht="79.900000000000006" hidden="1" customHeight="1">
      <c r="A278" s="334" t="s">
        <v>3433</v>
      </c>
      <c r="B278" s="335" t="s">
        <v>195</v>
      </c>
      <c r="C278" s="334" t="s">
        <v>793</v>
      </c>
      <c r="D278" s="334" t="s">
        <v>805</v>
      </c>
      <c r="E278" s="334" t="s">
        <v>3468</v>
      </c>
      <c r="F278" s="334" t="s">
        <v>2993</v>
      </c>
      <c r="G278" s="334" t="s">
        <v>2957</v>
      </c>
      <c r="H278" s="334" t="s">
        <v>3469</v>
      </c>
      <c r="I278" s="334" t="s">
        <v>3023</v>
      </c>
      <c r="J278" s="334"/>
      <c r="K278" s="334"/>
      <c r="L278" s="344"/>
      <c r="M278" s="334"/>
      <c r="N278" s="334"/>
      <c r="O278" s="345"/>
      <c r="P278" s="334"/>
      <c r="Q278" s="340"/>
      <c r="R278" s="349"/>
      <c r="S278" s="334"/>
      <c r="T278" s="334"/>
      <c r="U278" s="334"/>
      <c r="V278" s="334"/>
      <c r="W278" s="334"/>
      <c r="X278" s="334"/>
      <c r="Y278" s="334"/>
      <c r="Z278" s="334"/>
      <c r="AA278" s="334"/>
    </row>
    <row r="279" spans="1:27" ht="130.5" hidden="1" customHeight="1">
      <c r="A279" s="334" t="s">
        <v>3433</v>
      </c>
      <c r="B279" s="335" t="s">
        <v>195</v>
      </c>
      <c r="C279" s="334" t="s">
        <v>808</v>
      </c>
      <c r="D279" s="334" t="s">
        <v>809</v>
      </c>
      <c r="E279" s="334" t="s">
        <v>3470</v>
      </c>
      <c r="F279" s="334" t="s">
        <v>2964</v>
      </c>
      <c r="G279" s="334" t="s">
        <v>2957</v>
      </c>
      <c r="H279" s="334" t="s">
        <v>3471</v>
      </c>
      <c r="I279" s="343">
        <v>1</v>
      </c>
      <c r="J279" s="352" t="s">
        <v>3000</v>
      </c>
      <c r="K279" s="334"/>
      <c r="L279" s="344"/>
      <c r="M279" s="334"/>
      <c r="N279" s="334"/>
      <c r="O279" s="345"/>
      <c r="P279" s="334"/>
      <c r="Q279" s="340"/>
      <c r="R279" s="349"/>
      <c r="S279" s="334"/>
      <c r="T279" s="334"/>
      <c r="U279" s="334"/>
      <c r="V279" s="334"/>
      <c r="W279" s="334"/>
      <c r="X279" s="334"/>
      <c r="Y279" s="334"/>
      <c r="Z279" s="334"/>
      <c r="AA279" s="334"/>
    </row>
    <row r="280" spans="1:27" ht="77.45" hidden="1" customHeight="1">
      <c r="A280" s="334" t="s">
        <v>3433</v>
      </c>
      <c r="B280" s="335" t="s">
        <v>195</v>
      </c>
      <c r="C280" s="334" t="s">
        <v>808</v>
      </c>
      <c r="D280" s="334" t="s">
        <v>812</v>
      </c>
      <c r="E280" s="334" t="s">
        <v>3472</v>
      </c>
      <c r="F280" s="334" t="s">
        <v>2993</v>
      </c>
      <c r="G280" s="334" t="s">
        <v>2957</v>
      </c>
      <c r="H280" s="334" t="s">
        <v>3473</v>
      </c>
      <c r="I280" s="334" t="s">
        <v>3113</v>
      </c>
      <c r="J280" s="352" t="s">
        <v>3000</v>
      </c>
      <c r="K280" s="334"/>
      <c r="L280" s="344"/>
      <c r="M280" s="334"/>
      <c r="N280" s="334"/>
      <c r="O280" s="345"/>
      <c r="P280" s="334"/>
      <c r="Q280" s="340"/>
      <c r="R280" s="349"/>
      <c r="S280" s="334"/>
      <c r="T280" s="334"/>
      <c r="U280" s="334"/>
      <c r="V280" s="334"/>
      <c r="W280" s="334"/>
      <c r="X280" s="334"/>
      <c r="Y280" s="334"/>
      <c r="Z280" s="334"/>
      <c r="AA280" s="334"/>
    </row>
    <row r="281" spans="1:27" ht="87.95" hidden="1" customHeight="1">
      <c r="A281" s="334" t="s">
        <v>3433</v>
      </c>
      <c r="B281" s="335" t="s">
        <v>195</v>
      </c>
      <c r="C281" s="334" t="s">
        <v>3474</v>
      </c>
      <c r="D281" s="334" t="s">
        <v>816</v>
      </c>
      <c r="E281" s="334" t="s">
        <v>3475</v>
      </c>
      <c r="F281" s="352" t="s">
        <v>2964</v>
      </c>
      <c r="G281" s="334" t="s">
        <v>2957</v>
      </c>
      <c r="H281" s="334" t="s">
        <v>3476</v>
      </c>
      <c r="I281" s="343">
        <v>1</v>
      </c>
      <c r="J281" s="352" t="s">
        <v>3000</v>
      </c>
      <c r="K281" s="334"/>
      <c r="L281" s="344"/>
      <c r="M281" s="334"/>
      <c r="N281" s="334"/>
      <c r="O281" s="345"/>
      <c r="P281" s="334"/>
      <c r="Q281" s="340"/>
      <c r="R281" s="349"/>
      <c r="S281" s="334"/>
      <c r="T281" s="334"/>
      <c r="U281" s="334"/>
      <c r="V281" s="334"/>
      <c r="W281" s="334"/>
      <c r="X281" s="334"/>
      <c r="Y281" s="334"/>
      <c r="Z281" s="334"/>
      <c r="AA281" s="334"/>
    </row>
    <row r="282" spans="1:27" ht="255.75" hidden="1" customHeight="1">
      <c r="A282" s="334" t="s">
        <v>3433</v>
      </c>
      <c r="B282" s="335" t="s">
        <v>195</v>
      </c>
      <c r="C282" s="334" t="s">
        <v>3474</v>
      </c>
      <c r="D282" s="334" t="s">
        <v>817</v>
      </c>
      <c r="E282" s="334" t="s">
        <v>3477</v>
      </c>
      <c r="F282" s="442"/>
      <c r="G282" s="442" t="s">
        <v>2957</v>
      </c>
      <c r="H282" s="442"/>
      <c r="I282" s="443"/>
      <c r="J282" s="442"/>
      <c r="K282" s="442"/>
      <c r="L282" s="444"/>
      <c r="M282" s="442"/>
      <c r="N282" s="442"/>
      <c r="O282" s="445"/>
      <c r="P282" s="442"/>
      <c r="Q282" s="340"/>
      <c r="R282" s="446"/>
      <c r="S282" s="442"/>
      <c r="T282" s="442"/>
      <c r="U282" s="442"/>
      <c r="V282" s="442"/>
      <c r="W282" s="442"/>
      <c r="X282" s="442"/>
      <c r="Y282" s="442"/>
      <c r="Z282" s="442"/>
      <c r="AA282" s="442"/>
    </row>
    <row r="283" spans="1:27" ht="47.25" hidden="1">
      <c r="A283" s="334" t="s">
        <v>3433</v>
      </c>
      <c r="B283" s="335" t="s">
        <v>195</v>
      </c>
      <c r="C283" s="334" t="s">
        <v>3474</v>
      </c>
      <c r="D283" s="334" t="s">
        <v>819</v>
      </c>
      <c r="E283" s="348" t="s">
        <v>3478</v>
      </c>
      <c r="F283" s="352" t="s">
        <v>2993</v>
      </c>
      <c r="G283" s="334" t="s">
        <v>2957</v>
      </c>
      <c r="H283" s="334" t="s">
        <v>3479</v>
      </c>
      <c r="I283" s="343">
        <v>1</v>
      </c>
      <c r="J283" s="352" t="s">
        <v>3000</v>
      </c>
      <c r="K283" s="334"/>
      <c r="L283" s="344"/>
      <c r="M283" s="334"/>
      <c r="N283" s="334"/>
      <c r="O283" s="345"/>
      <c r="P283" s="334"/>
      <c r="Q283" s="340"/>
      <c r="R283" s="349"/>
      <c r="S283" s="334"/>
      <c r="T283" s="334"/>
      <c r="U283" s="334"/>
      <c r="V283" s="334"/>
      <c r="W283" s="334"/>
      <c r="X283" s="334"/>
      <c r="Y283" s="334"/>
      <c r="Z283" s="334"/>
      <c r="AA283" s="334"/>
    </row>
    <row r="284" spans="1:27" ht="83.45" hidden="1" customHeight="1">
      <c r="A284" s="334" t="s">
        <v>3433</v>
      </c>
      <c r="B284" s="335" t="s">
        <v>195</v>
      </c>
      <c r="C284" s="334" t="s">
        <v>3474</v>
      </c>
      <c r="D284" s="334" t="s">
        <v>822</v>
      </c>
      <c r="E284" s="348" t="s">
        <v>3480</v>
      </c>
      <c r="F284" s="352" t="s">
        <v>2993</v>
      </c>
      <c r="G284" s="334" t="s">
        <v>2957</v>
      </c>
      <c r="H284" s="334" t="s">
        <v>3481</v>
      </c>
      <c r="I284" s="343">
        <v>1</v>
      </c>
      <c r="J284" s="352" t="s">
        <v>3000</v>
      </c>
      <c r="K284" s="334"/>
      <c r="L284" s="344"/>
      <c r="M284" s="334"/>
      <c r="N284" s="334"/>
      <c r="O284" s="345"/>
      <c r="P284" s="334"/>
      <c r="Q284" s="340"/>
      <c r="R284" s="349"/>
      <c r="S284" s="334"/>
      <c r="T284" s="334"/>
      <c r="U284" s="334"/>
      <c r="V284" s="334"/>
      <c r="W284" s="334"/>
      <c r="X284" s="334"/>
      <c r="Y284" s="334"/>
      <c r="Z284" s="334"/>
      <c r="AA284" s="334"/>
    </row>
    <row r="285" spans="1:27" ht="94.5" hidden="1">
      <c r="A285" s="334" t="s">
        <v>3433</v>
      </c>
      <c r="B285" s="335" t="s">
        <v>195</v>
      </c>
      <c r="C285" s="334" t="s">
        <v>3474</v>
      </c>
      <c r="D285" s="334" t="s">
        <v>825</v>
      </c>
      <c r="E285" s="334" t="s">
        <v>3482</v>
      </c>
      <c r="F285" s="352" t="s">
        <v>2993</v>
      </c>
      <c r="G285" s="334" t="s">
        <v>2957</v>
      </c>
      <c r="H285" s="334" t="s">
        <v>3483</v>
      </c>
      <c r="I285" s="343">
        <v>1</v>
      </c>
      <c r="J285" s="352" t="s">
        <v>3000</v>
      </c>
      <c r="K285" s="334"/>
      <c r="L285" s="344"/>
      <c r="M285" s="334"/>
      <c r="N285" s="334"/>
      <c r="O285" s="345"/>
      <c r="P285" s="334"/>
      <c r="Q285" s="340"/>
      <c r="R285" s="349"/>
      <c r="S285" s="334"/>
      <c r="T285" s="334"/>
      <c r="U285" s="334"/>
      <c r="V285" s="334"/>
      <c r="W285" s="334"/>
      <c r="X285" s="334"/>
      <c r="Y285" s="334"/>
      <c r="Z285" s="334"/>
      <c r="AA285" s="334"/>
    </row>
    <row r="286" spans="1:27" ht="84.95" hidden="1" customHeight="1">
      <c r="A286" s="334" t="s">
        <v>3433</v>
      </c>
      <c r="B286" s="335" t="s">
        <v>195</v>
      </c>
      <c r="C286" s="334" t="s">
        <v>3474</v>
      </c>
      <c r="D286" s="334" t="s">
        <v>828</v>
      </c>
      <c r="E286" s="334" t="s">
        <v>3484</v>
      </c>
      <c r="F286" s="352" t="s">
        <v>2993</v>
      </c>
      <c r="G286" s="334" t="s">
        <v>2957</v>
      </c>
      <c r="H286" s="334" t="s">
        <v>3485</v>
      </c>
      <c r="I286" s="334" t="s">
        <v>3486</v>
      </c>
      <c r="J286" s="352" t="s">
        <v>3000</v>
      </c>
      <c r="K286" s="334"/>
      <c r="L286" s="344"/>
      <c r="M286" s="334"/>
      <c r="N286" s="334"/>
      <c r="O286" s="345"/>
      <c r="P286" s="334"/>
      <c r="Q286" s="340"/>
      <c r="R286" s="349"/>
      <c r="S286" s="334"/>
      <c r="T286" s="334"/>
      <c r="U286" s="334"/>
      <c r="V286" s="334"/>
      <c r="W286" s="334"/>
      <c r="X286" s="334"/>
      <c r="Y286" s="334"/>
      <c r="Z286" s="334"/>
      <c r="AA286" s="334"/>
    </row>
    <row r="287" spans="1:27" ht="60.95" hidden="1" customHeight="1">
      <c r="A287" s="334" t="s">
        <v>3433</v>
      </c>
      <c r="B287" s="335" t="s">
        <v>195</v>
      </c>
      <c r="C287" s="334" t="s">
        <v>3474</v>
      </c>
      <c r="D287" s="334" t="s">
        <v>832</v>
      </c>
      <c r="E287" s="334" t="s">
        <v>3487</v>
      </c>
      <c r="F287" s="334" t="s">
        <v>2966</v>
      </c>
      <c r="G287" s="334" t="s">
        <v>2957</v>
      </c>
      <c r="H287" s="334" t="s">
        <v>3488</v>
      </c>
      <c r="I287" s="343">
        <v>0.8</v>
      </c>
      <c r="J287" s="352" t="s">
        <v>3000</v>
      </c>
      <c r="K287" s="334"/>
      <c r="L287" s="344"/>
      <c r="M287" s="334"/>
      <c r="N287" s="334"/>
      <c r="O287" s="345"/>
      <c r="P287" s="334"/>
      <c r="Q287" s="340"/>
      <c r="R287" s="349"/>
      <c r="S287" s="334"/>
      <c r="T287" s="334"/>
      <c r="U287" s="334"/>
      <c r="V287" s="334"/>
      <c r="W287" s="334"/>
      <c r="X287" s="334"/>
      <c r="Y287" s="334"/>
      <c r="Z287" s="334"/>
      <c r="AA287" s="334"/>
    </row>
    <row r="288" spans="1:27" ht="65.45" hidden="1" customHeight="1">
      <c r="A288" s="334" t="s">
        <v>3433</v>
      </c>
      <c r="B288" s="335" t="s">
        <v>195</v>
      </c>
      <c r="C288" s="334" t="s">
        <v>3489</v>
      </c>
      <c r="D288" s="334" t="s">
        <v>836</v>
      </c>
      <c r="E288" s="334" t="s">
        <v>3490</v>
      </c>
      <c r="F288" s="334" t="s">
        <v>2956</v>
      </c>
      <c r="G288" s="334" t="s">
        <v>2957</v>
      </c>
      <c r="H288" s="334" t="s">
        <v>3453</v>
      </c>
      <c r="I288" s="343">
        <v>0.5</v>
      </c>
      <c r="J288" s="352" t="s">
        <v>3000</v>
      </c>
      <c r="K288" s="334"/>
      <c r="L288" s="344"/>
      <c r="M288" s="334"/>
      <c r="N288" s="334"/>
      <c r="O288" s="345"/>
      <c r="P288" s="334"/>
      <c r="Q288" s="340"/>
      <c r="R288" s="349"/>
      <c r="S288" s="334"/>
      <c r="T288" s="334"/>
      <c r="U288" s="334"/>
      <c r="V288" s="334"/>
      <c r="W288" s="334"/>
      <c r="X288" s="334"/>
      <c r="Y288" s="334"/>
      <c r="Z288" s="334"/>
      <c r="AA288" s="334"/>
    </row>
    <row r="289" spans="1:51" ht="67.5" hidden="1" customHeight="1">
      <c r="A289" s="334" t="s">
        <v>3433</v>
      </c>
      <c r="B289" s="335" t="s">
        <v>195</v>
      </c>
      <c r="C289" s="334" t="s">
        <v>3489</v>
      </c>
      <c r="D289" s="334" t="s">
        <v>838</v>
      </c>
      <c r="E289" s="334" t="s">
        <v>3491</v>
      </c>
      <c r="F289" s="334" t="s">
        <v>2993</v>
      </c>
      <c r="G289" s="334" t="s">
        <v>2957</v>
      </c>
      <c r="H289" s="334" t="s">
        <v>3304</v>
      </c>
      <c r="I289" s="334" t="s">
        <v>3113</v>
      </c>
      <c r="J289" s="352" t="s">
        <v>3000</v>
      </c>
      <c r="K289" s="334"/>
      <c r="L289" s="344"/>
      <c r="M289" s="334"/>
      <c r="N289" s="334"/>
      <c r="O289" s="345"/>
      <c r="P289" s="334"/>
      <c r="Q289" s="340"/>
      <c r="R289" s="349"/>
      <c r="S289" s="334"/>
      <c r="T289" s="334"/>
      <c r="U289" s="334"/>
      <c r="V289" s="334"/>
      <c r="W289" s="334"/>
      <c r="X289" s="334"/>
      <c r="Y289" s="334"/>
      <c r="Z289" s="334"/>
      <c r="AA289" s="334"/>
    </row>
    <row r="290" spans="1:51" ht="47.25" hidden="1">
      <c r="A290" s="334" t="s">
        <v>3433</v>
      </c>
      <c r="B290" s="335" t="s">
        <v>195</v>
      </c>
      <c r="C290" s="334" t="s">
        <v>3489</v>
      </c>
      <c r="D290" s="334" t="s">
        <v>840</v>
      </c>
      <c r="E290" s="334" t="s">
        <v>3492</v>
      </c>
      <c r="F290" s="334" t="s">
        <v>2993</v>
      </c>
      <c r="G290" s="334" t="s">
        <v>2957</v>
      </c>
      <c r="H290" s="334" t="s">
        <v>3493</v>
      </c>
      <c r="I290" s="334" t="s">
        <v>3113</v>
      </c>
      <c r="J290" s="352" t="s">
        <v>3000</v>
      </c>
      <c r="K290" s="334"/>
      <c r="L290" s="344"/>
      <c r="M290" s="334"/>
      <c r="N290" s="334"/>
      <c r="O290" s="345"/>
      <c r="P290" s="334"/>
      <c r="Q290" s="340"/>
      <c r="R290" s="349"/>
      <c r="S290" s="334"/>
      <c r="T290" s="334"/>
      <c r="U290" s="334"/>
      <c r="V290" s="334"/>
      <c r="W290" s="334"/>
      <c r="X290" s="334"/>
      <c r="Y290" s="334"/>
      <c r="Z290" s="334"/>
      <c r="AA290" s="334"/>
    </row>
    <row r="291" spans="1:51" ht="83.25" hidden="1" customHeight="1">
      <c r="A291" s="334" t="s">
        <v>3433</v>
      </c>
      <c r="B291" s="335" t="s">
        <v>195</v>
      </c>
      <c r="C291" s="334" t="s">
        <v>3489</v>
      </c>
      <c r="D291" s="334" t="s">
        <v>843</v>
      </c>
      <c r="E291" s="334" t="s">
        <v>3494</v>
      </c>
      <c r="F291" s="352" t="s">
        <v>2956</v>
      </c>
      <c r="G291" s="334" t="s">
        <v>2957</v>
      </c>
      <c r="H291" s="334" t="s">
        <v>3495</v>
      </c>
      <c r="I291" s="334" t="s">
        <v>3496</v>
      </c>
      <c r="J291" s="352" t="s">
        <v>3000</v>
      </c>
      <c r="K291" s="334"/>
      <c r="L291" s="344"/>
      <c r="M291" s="334"/>
      <c r="N291" s="334"/>
      <c r="O291" s="345"/>
      <c r="P291" s="334"/>
      <c r="Q291" s="340"/>
      <c r="R291" s="349"/>
      <c r="S291" s="334"/>
      <c r="T291" s="334"/>
      <c r="U291" s="334"/>
      <c r="V291" s="334"/>
      <c r="W291" s="334"/>
      <c r="X291" s="334"/>
      <c r="Y291" s="334"/>
      <c r="Z291" s="334"/>
      <c r="AA291" s="334"/>
    </row>
    <row r="292" spans="1:51" ht="83.25" hidden="1" customHeight="1">
      <c r="A292" s="334" t="s">
        <v>3433</v>
      </c>
      <c r="B292" s="335" t="s">
        <v>195</v>
      </c>
      <c r="C292" s="334" t="s">
        <v>3489</v>
      </c>
      <c r="D292" s="334" t="s">
        <v>847</v>
      </c>
      <c r="E292" s="334" t="s">
        <v>3497</v>
      </c>
      <c r="F292" s="352" t="s">
        <v>2956</v>
      </c>
      <c r="G292" s="334" t="s">
        <v>2957</v>
      </c>
      <c r="H292" s="334" t="s">
        <v>3498</v>
      </c>
      <c r="I292" s="334" t="s">
        <v>3023</v>
      </c>
      <c r="J292" s="352" t="s">
        <v>3000</v>
      </c>
      <c r="K292" s="334"/>
      <c r="L292" s="344"/>
      <c r="M292" s="334"/>
      <c r="N292" s="334"/>
      <c r="O292" s="345"/>
      <c r="P292" s="334" t="s">
        <v>2964</v>
      </c>
      <c r="Q292" s="340"/>
      <c r="R292" s="349"/>
      <c r="S292" s="334"/>
      <c r="T292" s="334"/>
      <c r="U292" s="334"/>
      <c r="V292" s="334"/>
      <c r="W292" s="334"/>
      <c r="X292" s="334"/>
      <c r="Y292" s="334"/>
      <c r="Z292" s="334"/>
      <c r="AA292" s="334"/>
    </row>
    <row r="293" spans="1:51" ht="130.5" hidden="1" customHeight="1">
      <c r="A293" s="334" t="s">
        <v>3433</v>
      </c>
      <c r="B293" s="335" t="s">
        <v>274</v>
      </c>
      <c r="C293" s="334" t="s">
        <v>3499</v>
      </c>
      <c r="D293" s="334" t="s">
        <v>851</v>
      </c>
      <c r="E293" s="334" t="s">
        <v>3500</v>
      </c>
      <c r="F293" s="352" t="s">
        <v>2993</v>
      </c>
      <c r="G293" s="334" t="s">
        <v>2957</v>
      </c>
      <c r="H293" s="334" t="s">
        <v>3501</v>
      </c>
      <c r="I293" s="334" t="s">
        <v>3400</v>
      </c>
      <c r="J293" s="352" t="s">
        <v>3000</v>
      </c>
      <c r="K293" s="334"/>
      <c r="L293" s="344"/>
      <c r="M293" s="334"/>
      <c r="N293" s="334"/>
      <c r="O293" s="345"/>
      <c r="P293" s="334"/>
      <c r="Q293" s="340"/>
      <c r="R293" s="349"/>
      <c r="S293" s="334"/>
      <c r="T293" s="334"/>
      <c r="U293" s="334"/>
      <c r="V293" s="334"/>
      <c r="W293" s="334"/>
      <c r="X293" s="334"/>
      <c r="Y293" s="334"/>
      <c r="Z293" s="334"/>
      <c r="AA293" s="334"/>
    </row>
    <row r="294" spans="1:51" ht="65.099999999999994" hidden="1" customHeight="1">
      <c r="A294" s="334" t="s">
        <v>3433</v>
      </c>
      <c r="B294" s="335" t="s">
        <v>274</v>
      </c>
      <c r="C294" s="334" t="s">
        <v>3499</v>
      </c>
      <c r="D294" s="334" t="s">
        <v>854</v>
      </c>
      <c r="E294" s="334" t="s">
        <v>3502</v>
      </c>
      <c r="F294" s="352" t="s">
        <v>2993</v>
      </c>
      <c r="G294" s="334" t="s">
        <v>2957</v>
      </c>
      <c r="H294" s="334" t="s">
        <v>3503</v>
      </c>
      <c r="I294" s="334" t="s">
        <v>3400</v>
      </c>
      <c r="J294" s="352" t="s">
        <v>2974</v>
      </c>
      <c r="K294" s="334"/>
      <c r="L294" s="344"/>
      <c r="M294" s="334"/>
      <c r="N294" s="334"/>
      <c r="O294" s="345"/>
      <c r="P294" s="334"/>
      <c r="Q294" s="340"/>
      <c r="R294" s="349"/>
      <c r="S294" s="334"/>
      <c r="T294" s="334"/>
      <c r="U294" s="334"/>
      <c r="V294" s="334"/>
      <c r="W294" s="334"/>
      <c r="X294" s="334"/>
      <c r="Y294" s="334"/>
      <c r="Z294" s="334"/>
      <c r="AA294" s="334"/>
    </row>
    <row r="295" spans="1:51" ht="51.95" hidden="1" customHeight="1">
      <c r="A295" s="334" t="s">
        <v>3433</v>
      </c>
      <c r="B295" s="335" t="s">
        <v>274</v>
      </c>
      <c r="C295" s="334" t="s">
        <v>3499</v>
      </c>
      <c r="D295" s="334" t="s">
        <v>857</v>
      </c>
      <c r="E295" s="334" t="s">
        <v>3504</v>
      </c>
      <c r="F295" s="352" t="s">
        <v>2964</v>
      </c>
      <c r="G295" s="334" t="s">
        <v>2957</v>
      </c>
      <c r="H295" s="334" t="s">
        <v>3453</v>
      </c>
      <c r="I295" s="343">
        <v>0.5</v>
      </c>
      <c r="J295" s="352" t="s">
        <v>3000</v>
      </c>
      <c r="K295" s="334"/>
      <c r="L295" s="344"/>
      <c r="M295" s="334"/>
      <c r="N295" s="334"/>
      <c r="O295" s="345"/>
      <c r="P295" s="334"/>
      <c r="Q295" s="340"/>
      <c r="R295" s="349"/>
      <c r="S295" s="334"/>
      <c r="T295" s="334"/>
      <c r="U295" s="334"/>
      <c r="V295" s="334"/>
      <c r="W295" s="334"/>
      <c r="X295" s="334"/>
      <c r="Y295" s="334"/>
      <c r="Z295" s="334"/>
      <c r="AA295" s="334"/>
    </row>
    <row r="296" spans="1:51" ht="63" hidden="1">
      <c r="A296" s="334" t="s">
        <v>3433</v>
      </c>
      <c r="B296" s="335" t="s">
        <v>274</v>
      </c>
      <c r="C296" s="334" t="s">
        <v>3499</v>
      </c>
      <c r="D296" s="334" t="s">
        <v>860</v>
      </c>
      <c r="E296" s="334" t="s">
        <v>3505</v>
      </c>
      <c r="F296" s="352" t="s">
        <v>2993</v>
      </c>
      <c r="G296" s="334" t="s">
        <v>2957</v>
      </c>
      <c r="H296" s="334" t="s">
        <v>3506</v>
      </c>
      <c r="I296" s="343">
        <v>0.5</v>
      </c>
      <c r="J296" s="352" t="s">
        <v>3000</v>
      </c>
      <c r="K296" s="334"/>
      <c r="L296" s="344"/>
      <c r="M296" s="334"/>
      <c r="N296" s="334"/>
      <c r="O296" s="345"/>
      <c r="P296" s="334"/>
      <c r="Q296" s="340"/>
      <c r="R296" s="349"/>
      <c r="S296" s="334"/>
      <c r="T296" s="334"/>
      <c r="U296" s="334"/>
      <c r="V296" s="334"/>
      <c r="W296" s="334"/>
      <c r="X296" s="334"/>
      <c r="Y296" s="334"/>
      <c r="Z296" s="334"/>
      <c r="AA296" s="334"/>
    </row>
    <row r="297" spans="1:51" ht="118.5" hidden="1" customHeight="1">
      <c r="A297" s="334" t="s">
        <v>3433</v>
      </c>
      <c r="B297" s="335" t="s">
        <v>274</v>
      </c>
      <c r="C297" s="334" t="s">
        <v>3499</v>
      </c>
      <c r="D297" s="334" t="s">
        <v>863</v>
      </c>
      <c r="E297" s="334" t="s">
        <v>3507</v>
      </c>
      <c r="F297" s="352" t="s">
        <v>2993</v>
      </c>
      <c r="G297" s="334" t="s">
        <v>2957</v>
      </c>
      <c r="H297" s="334" t="s">
        <v>3508</v>
      </c>
      <c r="I297" s="343">
        <v>0.5</v>
      </c>
      <c r="J297" s="352" t="s">
        <v>3000</v>
      </c>
      <c r="K297" s="334"/>
      <c r="L297" s="344"/>
      <c r="M297" s="334"/>
      <c r="N297" s="334"/>
      <c r="O297" s="345"/>
      <c r="P297" s="334"/>
      <c r="Q297" s="340"/>
      <c r="R297" s="349"/>
      <c r="S297" s="334"/>
      <c r="T297" s="334"/>
      <c r="U297" s="334"/>
      <c r="V297" s="334"/>
      <c r="W297" s="334"/>
      <c r="X297" s="334"/>
      <c r="Y297" s="334"/>
      <c r="Z297" s="334"/>
      <c r="AA297" s="334"/>
    </row>
    <row r="298" spans="1:51" s="478" customFormat="1" ht="36.75" hidden="1" customHeight="1">
      <c r="A298" s="334" t="s">
        <v>3433</v>
      </c>
      <c r="B298" s="335" t="s">
        <v>274</v>
      </c>
      <c r="C298" s="442" t="s">
        <v>3509</v>
      </c>
      <c r="D298" s="442" t="s">
        <v>582</v>
      </c>
      <c r="E298" s="442" t="s">
        <v>582</v>
      </c>
      <c r="F298" s="442" t="s">
        <v>582</v>
      </c>
      <c r="G298" s="442" t="s">
        <v>582</v>
      </c>
      <c r="H298" s="442" t="s">
        <v>582</v>
      </c>
      <c r="I298" s="442" t="s">
        <v>582</v>
      </c>
      <c r="J298" s="442" t="s">
        <v>582</v>
      </c>
      <c r="K298" s="442" t="s">
        <v>582</v>
      </c>
      <c r="L298" s="442" t="s">
        <v>582</v>
      </c>
      <c r="M298" s="442" t="s">
        <v>582</v>
      </c>
      <c r="N298" s="442"/>
      <c r="O298" s="442"/>
      <c r="P298" s="442"/>
      <c r="Q298" s="391"/>
      <c r="R298" s="446"/>
      <c r="S298" s="442"/>
      <c r="T298" s="442"/>
      <c r="U298" s="442"/>
      <c r="V298" s="442"/>
      <c r="W298" s="442"/>
      <c r="X298" s="442"/>
      <c r="Y298" s="442"/>
      <c r="Z298" s="442"/>
      <c r="AA298" s="442"/>
      <c r="AB298" s="327"/>
      <c r="AC298" s="327"/>
      <c r="AD298" s="327"/>
      <c r="AE298" s="327"/>
      <c r="AF298" s="327"/>
      <c r="AG298" s="327"/>
      <c r="AH298" s="327"/>
      <c r="AI298" s="327"/>
      <c r="AJ298" s="327"/>
      <c r="AK298" s="327"/>
      <c r="AL298" s="327"/>
      <c r="AM298" s="327"/>
      <c r="AN298" s="327"/>
      <c r="AO298" s="327"/>
      <c r="AP298" s="327"/>
      <c r="AQ298" s="327"/>
      <c r="AR298" s="327"/>
      <c r="AS298" s="327"/>
      <c r="AT298" s="327"/>
      <c r="AU298" s="327"/>
      <c r="AV298" s="327"/>
      <c r="AW298" s="327"/>
      <c r="AX298" s="327"/>
      <c r="AY298" s="327"/>
    </row>
    <row r="299" spans="1:51" s="478" customFormat="1" ht="60.75" hidden="1" customHeight="1">
      <c r="A299" s="334" t="s">
        <v>3433</v>
      </c>
      <c r="B299" s="335" t="s">
        <v>274</v>
      </c>
      <c r="C299" s="442" t="s">
        <v>3510</v>
      </c>
      <c r="D299" s="442" t="s">
        <v>582</v>
      </c>
      <c r="E299" s="442" t="s">
        <v>582</v>
      </c>
      <c r="F299" s="442" t="s">
        <v>582</v>
      </c>
      <c r="G299" s="442" t="s">
        <v>582</v>
      </c>
      <c r="H299" s="442" t="s">
        <v>582</v>
      </c>
      <c r="I299" s="442" t="s">
        <v>582</v>
      </c>
      <c r="J299" s="442" t="s">
        <v>582</v>
      </c>
      <c r="K299" s="442" t="s">
        <v>582</v>
      </c>
      <c r="L299" s="442" t="s">
        <v>582</v>
      </c>
      <c r="M299" s="442" t="s">
        <v>582</v>
      </c>
      <c r="N299" s="442"/>
      <c r="O299" s="442"/>
      <c r="P299" s="442"/>
      <c r="Q299" s="391"/>
      <c r="R299" s="446"/>
      <c r="S299" s="442"/>
      <c r="T299" s="442"/>
      <c r="U299" s="442"/>
      <c r="V299" s="442"/>
      <c r="W299" s="442"/>
      <c r="X299" s="442"/>
      <c r="Y299" s="442"/>
      <c r="Z299" s="442"/>
      <c r="AA299" s="442"/>
      <c r="AB299" s="327"/>
      <c r="AC299" s="327"/>
      <c r="AD299" s="327"/>
      <c r="AE299" s="327"/>
      <c r="AF299" s="327"/>
      <c r="AG299" s="327"/>
      <c r="AH299" s="327"/>
      <c r="AI299" s="327"/>
      <c r="AJ299" s="327"/>
      <c r="AK299" s="327"/>
      <c r="AL299" s="327"/>
      <c r="AM299" s="327"/>
      <c r="AN299" s="327"/>
      <c r="AO299" s="327"/>
      <c r="AP299" s="327"/>
      <c r="AQ299" s="327"/>
      <c r="AR299" s="327"/>
      <c r="AS299" s="327"/>
      <c r="AT299" s="327"/>
      <c r="AU299" s="327"/>
      <c r="AV299" s="327"/>
      <c r="AW299" s="327"/>
      <c r="AX299" s="327"/>
      <c r="AY299" s="327"/>
    </row>
    <row r="300" spans="1:51" ht="50.45" hidden="1" customHeight="1">
      <c r="A300" s="334" t="s">
        <v>3433</v>
      </c>
      <c r="B300" s="335" t="s">
        <v>274</v>
      </c>
      <c r="C300" s="334" t="s">
        <v>3511</v>
      </c>
      <c r="D300" s="334" t="s">
        <v>869</v>
      </c>
      <c r="E300" s="334" t="s">
        <v>3512</v>
      </c>
      <c r="F300" s="334" t="s">
        <v>2961</v>
      </c>
      <c r="G300" s="334" t="s">
        <v>2957</v>
      </c>
      <c r="H300" s="334" t="s">
        <v>3513</v>
      </c>
      <c r="I300" s="334" t="s">
        <v>3113</v>
      </c>
      <c r="J300" s="352" t="s">
        <v>3000</v>
      </c>
      <c r="K300" s="334"/>
      <c r="L300" s="344"/>
      <c r="M300" s="334"/>
      <c r="N300" s="334"/>
      <c r="O300" s="345"/>
      <c r="P300" s="334"/>
      <c r="Q300" s="340"/>
      <c r="R300" s="349"/>
      <c r="S300" s="334"/>
      <c r="T300" s="334"/>
      <c r="U300" s="334"/>
      <c r="V300" s="334"/>
      <c r="W300" s="334"/>
      <c r="X300" s="334"/>
      <c r="Y300" s="334"/>
      <c r="Z300" s="334"/>
      <c r="AA300" s="334"/>
    </row>
    <row r="301" spans="1:51" ht="78.75" hidden="1">
      <c r="A301" s="334" t="s">
        <v>3433</v>
      </c>
      <c r="B301" s="335" t="s">
        <v>274</v>
      </c>
      <c r="C301" s="334" t="s">
        <v>3511</v>
      </c>
      <c r="D301" s="334" t="s">
        <v>872</v>
      </c>
      <c r="E301" s="334" t="s">
        <v>3514</v>
      </c>
      <c r="F301" s="334" t="s">
        <v>2956</v>
      </c>
      <c r="G301" s="334" t="s">
        <v>2957</v>
      </c>
      <c r="H301" s="334" t="s">
        <v>3515</v>
      </c>
      <c r="I301" s="334" t="s">
        <v>3516</v>
      </c>
      <c r="J301" s="352" t="s">
        <v>3000</v>
      </c>
      <c r="K301" s="334"/>
      <c r="L301" s="344"/>
      <c r="M301" s="334"/>
      <c r="N301" s="334"/>
      <c r="O301" s="345"/>
      <c r="P301" s="334"/>
      <c r="Q301" s="340"/>
      <c r="R301" s="349"/>
      <c r="S301" s="334"/>
      <c r="T301" s="334"/>
      <c r="U301" s="334"/>
      <c r="V301" s="334"/>
      <c r="W301" s="334"/>
      <c r="X301" s="334"/>
      <c r="Y301" s="334"/>
      <c r="Z301" s="334"/>
      <c r="AA301" s="334"/>
    </row>
    <row r="302" spans="1:51" ht="79.5" hidden="1" customHeight="1">
      <c r="A302" s="334" t="s">
        <v>3433</v>
      </c>
      <c r="B302" s="335" t="s">
        <v>274</v>
      </c>
      <c r="C302" s="334" t="s">
        <v>876</v>
      </c>
      <c r="D302" s="334" t="s">
        <v>877</v>
      </c>
      <c r="E302" s="334" t="s">
        <v>3517</v>
      </c>
      <c r="F302" s="442"/>
      <c r="G302" s="442" t="s">
        <v>2957</v>
      </c>
      <c r="H302" s="442"/>
      <c r="I302" s="443"/>
      <c r="J302" s="442"/>
      <c r="K302" s="442"/>
      <c r="L302" s="444"/>
      <c r="M302" s="442"/>
      <c r="N302" s="442"/>
      <c r="O302" s="445"/>
      <c r="P302" s="442"/>
      <c r="Q302" s="340"/>
      <c r="R302" s="446"/>
      <c r="S302" s="442"/>
      <c r="T302" s="442"/>
      <c r="U302" s="442"/>
      <c r="V302" s="442"/>
      <c r="W302" s="442"/>
      <c r="X302" s="442"/>
      <c r="Y302" s="442"/>
      <c r="Z302" s="442"/>
      <c r="AA302" s="334"/>
    </row>
    <row r="303" spans="1:51" ht="45.95" hidden="1" customHeight="1">
      <c r="A303" s="334" t="s">
        <v>3433</v>
      </c>
      <c r="B303" s="335" t="s">
        <v>3321</v>
      </c>
      <c r="C303" s="334" t="s">
        <v>876</v>
      </c>
      <c r="D303" s="334" t="s">
        <v>879</v>
      </c>
      <c r="E303" s="348" t="s">
        <v>3518</v>
      </c>
      <c r="F303" s="334" t="s">
        <v>2961</v>
      </c>
      <c r="G303" s="334" t="s">
        <v>2957</v>
      </c>
      <c r="H303" s="334" t="s">
        <v>3324</v>
      </c>
      <c r="I303" s="343">
        <v>1</v>
      </c>
      <c r="J303" s="352" t="s">
        <v>3000</v>
      </c>
      <c r="K303" s="334"/>
      <c r="L303" s="344"/>
      <c r="M303" s="334"/>
      <c r="N303" s="334"/>
      <c r="O303" s="345"/>
      <c r="P303" s="334"/>
      <c r="Q303" s="340"/>
      <c r="R303" s="349"/>
      <c r="S303" s="334"/>
      <c r="T303" s="334"/>
      <c r="U303" s="334"/>
      <c r="V303" s="334"/>
      <c r="W303" s="334"/>
      <c r="X303" s="334"/>
      <c r="Y303" s="334"/>
      <c r="Z303" s="334"/>
      <c r="AA303" s="334"/>
    </row>
    <row r="304" spans="1:51" ht="50.1" hidden="1" customHeight="1">
      <c r="A304" s="334" t="s">
        <v>3433</v>
      </c>
      <c r="B304" s="335" t="s">
        <v>3321</v>
      </c>
      <c r="C304" s="334" t="s">
        <v>876</v>
      </c>
      <c r="D304" s="334" t="s">
        <v>881</v>
      </c>
      <c r="E304" s="348" t="s">
        <v>3519</v>
      </c>
      <c r="F304" s="334" t="s">
        <v>2961</v>
      </c>
      <c r="G304" s="334" t="s">
        <v>2957</v>
      </c>
      <c r="H304" s="334" t="s">
        <v>3324</v>
      </c>
      <c r="I304" s="343">
        <v>1</v>
      </c>
      <c r="J304" s="352" t="s">
        <v>3000</v>
      </c>
      <c r="K304" s="334"/>
      <c r="L304" s="344"/>
      <c r="M304" s="334"/>
      <c r="N304" s="334"/>
      <c r="O304" s="345"/>
      <c r="P304" s="334"/>
      <c r="Q304" s="340"/>
      <c r="R304" s="349"/>
      <c r="S304" s="334"/>
      <c r="T304" s="334"/>
      <c r="U304" s="334"/>
      <c r="V304" s="334"/>
      <c r="W304" s="334"/>
      <c r="X304" s="334"/>
      <c r="Y304" s="334"/>
      <c r="Z304" s="334"/>
      <c r="AA304" s="334"/>
    </row>
    <row r="305" spans="1:27" ht="67.5" hidden="1">
      <c r="A305" s="334" t="s">
        <v>3433</v>
      </c>
      <c r="B305" s="335" t="s">
        <v>3321</v>
      </c>
      <c r="C305" s="334" t="s">
        <v>876</v>
      </c>
      <c r="D305" s="334" t="s">
        <v>883</v>
      </c>
      <c r="E305" s="348" t="s">
        <v>3520</v>
      </c>
      <c r="F305" s="334" t="s">
        <v>2961</v>
      </c>
      <c r="G305" s="334" t="s">
        <v>2957</v>
      </c>
      <c r="H305" s="334" t="s">
        <v>3324</v>
      </c>
      <c r="I305" s="343">
        <v>1</v>
      </c>
      <c r="J305" s="352" t="s">
        <v>3000</v>
      </c>
      <c r="K305" s="334"/>
      <c r="L305" s="344"/>
      <c r="M305" s="334"/>
      <c r="N305" s="334"/>
      <c r="O305" s="345"/>
      <c r="P305" s="334"/>
      <c r="Q305" s="340"/>
      <c r="R305" s="349"/>
      <c r="S305" s="334"/>
      <c r="T305" s="334"/>
      <c r="U305" s="334"/>
      <c r="V305" s="334"/>
      <c r="W305" s="334"/>
      <c r="X305" s="334"/>
      <c r="Y305" s="334"/>
      <c r="Z305" s="334"/>
      <c r="AA305" s="334"/>
    </row>
    <row r="306" spans="1:27" ht="78.75" hidden="1">
      <c r="A306" s="334" t="s">
        <v>3433</v>
      </c>
      <c r="B306" s="335" t="s">
        <v>3321</v>
      </c>
      <c r="C306" s="334" t="s">
        <v>876</v>
      </c>
      <c r="D306" s="334" t="s">
        <v>885</v>
      </c>
      <c r="E306" s="348" t="s">
        <v>3521</v>
      </c>
      <c r="F306" s="334" t="s">
        <v>2961</v>
      </c>
      <c r="G306" s="334" t="s">
        <v>2957</v>
      </c>
      <c r="H306" s="334" t="s">
        <v>3324</v>
      </c>
      <c r="I306" s="343">
        <v>1</v>
      </c>
      <c r="J306" s="352" t="s">
        <v>3000</v>
      </c>
      <c r="K306" s="334"/>
      <c r="L306" s="344"/>
      <c r="M306" s="334"/>
      <c r="N306" s="334"/>
      <c r="O306" s="345"/>
      <c r="P306" s="334"/>
      <c r="Q306" s="340"/>
      <c r="R306" s="349"/>
      <c r="S306" s="334"/>
      <c r="T306" s="334"/>
      <c r="U306" s="334"/>
      <c r="V306" s="334"/>
      <c r="W306" s="334"/>
      <c r="X306" s="334"/>
      <c r="Y306" s="334"/>
      <c r="Z306" s="334"/>
      <c r="AA306" s="334"/>
    </row>
    <row r="307" spans="1:27" ht="94.5" hidden="1">
      <c r="A307" s="334" t="s">
        <v>3433</v>
      </c>
      <c r="B307" s="335" t="s">
        <v>3321</v>
      </c>
      <c r="C307" s="334" t="s">
        <v>876</v>
      </c>
      <c r="D307" s="334" t="s">
        <v>887</v>
      </c>
      <c r="E307" s="348" t="s">
        <v>3522</v>
      </c>
      <c r="F307" s="334" t="s">
        <v>2993</v>
      </c>
      <c r="G307" s="334" t="s">
        <v>2957</v>
      </c>
      <c r="H307" s="334" t="s">
        <v>3324</v>
      </c>
      <c r="I307" s="343">
        <v>1</v>
      </c>
      <c r="J307" s="352" t="s">
        <v>3000</v>
      </c>
      <c r="K307" s="334"/>
      <c r="L307" s="344"/>
      <c r="M307" s="334"/>
      <c r="N307" s="334"/>
      <c r="O307" s="345"/>
      <c r="P307" s="334"/>
      <c r="Q307" s="340"/>
      <c r="R307" s="349"/>
      <c r="S307" s="334"/>
      <c r="T307" s="334"/>
      <c r="U307" s="334"/>
      <c r="V307" s="334"/>
      <c r="W307" s="334"/>
      <c r="X307" s="334"/>
      <c r="Y307" s="334"/>
      <c r="Z307" s="334"/>
      <c r="AA307" s="334"/>
    </row>
    <row r="308" spans="1:27" ht="67.5" hidden="1">
      <c r="A308" s="334" t="s">
        <v>3433</v>
      </c>
      <c r="B308" s="335" t="s">
        <v>3321</v>
      </c>
      <c r="C308" s="334" t="s">
        <v>876</v>
      </c>
      <c r="D308" s="334" t="s">
        <v>889</v>
      </c>
      <c r="E308" s="334" t="s">
        <v>3523</v>
      </c>
      <c r="F308" s="334" t="s">
        <v>2956</v>
      </c>
      <c r="G308" s="334" t="s">
        <v>2954</v>
      </c>
      <c r="H308" s="334" t="s">
        <v>3453</v>
      </c>
      <c r="I308" s="343">
        <v>0.5</v>
      </c>
      <c r="J308" s="352" t="s">
        <v>3000</v>
      </c>
      <c r="K308" s="334"/>
      <c r="L308" s="344"/>
      <c r="M308" s="334"/>
      <c r="N308" s="334"/>
      <c r="O308" s="345"/>
      <c r="P308" s="334"/>
      <c r="Q308" s="340"/>
      <c r="R308" s="349"/>
      <c r="S308" s="334"/>
      <c r="T308" s="334"/>
      <c r="U308" s="334"/>
      <c r="V308" s="334"/>
      <c r="W308" s="334"/>
      <c r="X308" s="334"/>
      <c r="Y308" s="334"/>
      <c r="Z308" s="334"/>
      <c r="AA308" s="334"/>
    </row>
    <row r="309" spans="1:27" ht="67.5" hidden="1">
      <c r="A309" s="334" t="s">
        <v>3433</v>
      </c>
      <c r="B309" s="335" t="s">
        <v>3321</v>
      </c>
      <c r="C309" s="334" t="s">
        <v>876</v>
      </c>
      <c r="D309" s="334" t="s">
        <v>892</v>
      </c>
      <c r="E309" s="334" t="s">
        <v>3524</v>
      </c>
      <c r="F309" s="334" t="s">
        <v>2993</v>
      </c>
      <c r="G309" s="334" t="s">
        <v>2957</v>
      </c>
      <c r="H309" s="334" t="s">
        <v>3525</v>
      </c>
      <c r="I309" s="343">
        <v>1</v>
      </c>
      <c r="J309" s="352" t="s">
        <v>3000</v>
      </c>
      <c r="K309" s="334"/>
      <c r="L309" s="344"/>
      <c r="M309" s="334"/>
      <c r="N309" s="334"/>
      <c r="O309" s="345"/>
      <c r="P309" s="334"/>
      <c r="Q309" s="340"/>
      <c r="R309" s="349"/>
      <c r="S309" s="334"/>
      <c r="T309" s="334"/>
      <c r="U309" s="334"/>
      <c r="V309" s="334"/>
      <c r="W309" s="334"/>
      <c r="X309" s="334"/>
      <c r="Y309" s="334"/>
      <c r="Z309" s="334"/>
      <c r="AA309" s="334"/>
    </row>
    <row r="310" spans="1:27" ht="78.75" hidden="1">
      <c r="A310" s="334" t="s">
        <v>3433</v>
      </c>
      <c r="B310" s="335" t="s">
        <v>3321</v>
      </c>
      <c r="C310" s="334" t="s">
        <v>876</v>
      </c>
      <c r="D310" s="334" t="s">
        <v>895</v>
      </c>
      <c r="E310" s="334" t="s">
        <v>3526</v>
      </c>
      <c r="F310" s="334" t="s">
        <v>2993</v>
      </c>
      <c r="G310" s="334" t="s">
        <v>2957</v>
      </c>
      <c r="H310" s="334" t="s">
        <v>3527</v>
      </c>
      <c r="I310" s="343">
        <v>1</v>
      </c>
      <c r="J310" s="352" t="s">
        <v>3000</v>
      </c>
      <c r="K310" s="334"/>
      <c r="L310" s="344"/>
      <c r="M310" s="334"/>
      <c r="N310" s="334"/>
      <c r="O310" s="345"/>
      <c r="P310" s="334"/>
      <c r="Q310" s="340"/>
      <c r="R310" s="349"/>
      <c r="S310" s="334"/>
      <c r="T310" s="334"/>
      <c r="U310" s="334"/>
      <c r="V310" s="334"/>
      <c r="W310" s="334"/>
      <c r="X310" s="334"/>
      <c r="Y310" s="334"/>
      <c r="Z310" s="334"/>
      <c r="AA310" s="334"/>
    </row>
    <row r="311" spans="1:27" ht="44.1" hidden="1" customHeight="1">
      <c r="A311" s="334" t="s">
        <v>3433</v>
      </c>
      <c r="B311" s="335" t="s">
        <v>3321</v>
      </c>
      <c r="C311" s="334" t="s">
        <v>3528</v>
      </c>
      <c r="D311" s="334" t="s">
        <v>898</v>
      </c>
      <c r="E311" s="334" t="s">
        <v>3529</v>
      </c>
      <c r="F311" s="334" t="s">
        <v>2966</v>
      </c>
      <c r="G311" s="334" t="s">
        <v>2957</v>
      </c>
      <c r="H311" s="334" t="s">
        <v>3420</v>
      </c>
      <c r="I311" s="343">
        <v>1</v>
      </c>
      <c r="J311" s="352" t="s">
        <v>3000</v>
      </c>
      <c r="K311" s="334"/>
      <c r="L311" s="344"/>
      <c r="M311" s="334"/>
      <c r="N311" s="334"/>
      <c r="O311" s="345"/>
      <c r="P311" s="334"/>
      <c r="Q311" s="340"/>
      <c r="R311" s="349"/>
      <c r="S311" s="334"/>
      <c r="T311" s="334"/>
      <c r="U311" s="334"/>
      <c r="V311" s="334"/>
      <c r="W311" s="334"/>
      <c r="X311" s="334"/>
      <c r="Y311" s="334"/>
      <c r="Z311" s="334"/>
      <c r="AA311" s="334"/>
    </row>
    <row r="312" spans="1:27" ht="67.5" hidden="1">
      <c r="A312" s="334" t="s">
        <v>3433</v>
      </c>
      <c r="B312" s="335" t="s">
        <v>3321</v>
      </c>
      <c r="C312" s="334" t="s">
        <v>3528</v>
      </c>
      <c r="D312" s="334" t="s">
        <v>900</v>
      </c>
      <c r="E312" s="334" t="s">
        <v>3529</v>
      </c>
      <c r="F312" s="334" t="s">
        <v>2966</v>
      </c>
      <c r="G312" s="334" t="s">
        <v>2957</v>
      </c>
      <c r="H312" s="334" t="s">
        <v>3217</v>
      </c>
      <c r="I312" s="343">
        <v>1</v>
      </c>
      <c r="J312" s="352" t="s">
        <v>3000</v>
      </c>
      <c r="K312" s="334"/>
      <c r="L312" s="344"/>
      <c r="M312" s="334"/>
      <c r="N312" s="334"/>
      <c r="O312" s="345"/>
      <c r="P312" s="334"/>
      <c r="Q312" s="340"/>
      <c r="R312" s="349"/>
      <c r="S312" s="334"/>
      <c r="T312" s="334"/>
      <c r="U312" s="334"/>
      <c r="V312" s="334"/>
      <c r="W312" s="334"/>
      <c r="X312" s="334"/>
      <c r="Y312" s="334"/>
      <c r="Z312" s="334"/>
      <c r="AA312" s="334"/>
    </row>
    <row r="313" spans="1:27" ht="94.5" hidden="1">
      <c r="A313" s="334" t="s">
        <v>3433</v>
      </c>
      <c r="B313" s="335" t="s">
        <v>3321</v>
      </c>
      <c r="C313" s="334" t="s">
        <v>3530</v>
      </c>
      <c r="D313" s="334" t="s">
        <v>902</v>
      </c>
      <c r="E313" s="334" t="s">
        <v>3531</v>
      </c>
      <c r="F313" s="334" t="s">
        <v>2964</v>
      </c>
      <c r="G313" s="334" t="s">
        <v>2957</v>
      </c>
      <c r="H313" s="334" t="s">
        <v>3532</v>
      </c>
      <c r="I313" s="343">
        <v>1</v>
      </c>
      <c r="J313" s="352" t="s">
        <v>3000</v>
      </c>
      <c r="K313" s="334"/>
      <c r="L313" s="344"/>
      <c r="M313" s="334"/>
      <c r="N313" s="334"/>
      <c r="O313" s="345"/>
      <c r="P313" s="334"/>
      <c r="Q313" s="340"/>
      <c r="R313" s="349"/>
      <c r="S313" s="334"/>
      <c r="T313" s="334"/>
      <c r="U313" s="334"/>
      <c r="V313" s="334"/>
      <c r="W313" s="334"/>
      <c r="X313" s="334"/>
      <c r="Y313" s="334"/>
      <c r="Z313" s="334"/>
      <c r="AA313" s="334"/>
    </row>
    <row r="314" spans="1:27" ht="94.5" hidden="1">
      <c r="A314" s="334" t="s">
        <v>3433</v>
      </c>
      <c r="B314" s="335" t="s">
        <v>3321</v>
      </c>
      <c r="C314" s="334" t="s">
        <v>3530</v>
      </c>
      <c r="D314" s="334" t="s">
        <v>904</v>
      </c>
      <c r="E314" s="334" t="s">
        <v>3533</v>
      </c>
      <c r="F314" s="334" t="s">
        <v>2993</v>
      </c>
      <c r="G314" s="334" t="s">
        <v>2957</v>
      </c>
      <c r="H314" s="334" t="s">
        <v>3426</v>
      </c>
      <c r="I314" s="343">
        <v>0.5</v>
      </c>
      <c r="J314" s="352" t="s">
        <v>3000</v>
      </c>
      <c r="K314" s="334"/>
      <c r="L314" s="344"/>
      <c r="M314" s="334"/>
      <c r="N314" s="334"/>
      <c r="O314" s="345"/>
      <c r="P314" s="334"/>
      <c r="Q314" s="340"/>
      <c r="R314" s="349"/>
      <c r="S314" s="334"/>
      <c r="T314" s="334"/>
      <c r="U314" s="334"/>
      <c r="V314" s="334"/>
      <c r="W314" s="334"/>
      <c r="X314" s="334"/>
      <c r="Y314" s="334"/>
      <c r="Z314" s="334"/>
      <c r="AA314" s="334"/>
    </row>
    <row r="315" spans="1:27" ht="94.5" hidden="1">
      <c r="A315" s="334" t="s">
        <v>3433</v>
      </c>
      <c r="B315" s="335" t="s">
        <v>3321</v>
      </c>
      <c r="C315" s="334" t="s">
        <v>3530</v>
      </c>
      <c r="D315" s="334" t="s">
        <v>906</v>
      </c>
      <c r="E315" s="334" t="s">
        <v>3534</v>
      </c>
      <c r="F315" s="334" t="s">
        <v>2956</v>
      </c>
      <c r="G315" s="334" t="s">
        <v>2954</v>
      </c>
      <c r="H315" s="334" t="s">
        <v>3428</v>
      </c>
      <c r="I315" s="343">
        <v>0.5</v>
      </c>
      <c r="J315" s="352" t="s">
        <v>3000</v>
      </c>
      <c r="K315" s="334"/>
      <c r="L315" s="344"/>
      <c r="M315" s="334"/>
      <c r="N315" s="334"/>
      <c r="O315" s="345"/>
      <c r="P315" s="334" t="s">
        <v>2983</v>
      </c>
      <c r="Q315" s="340"/>
      <c r="R315" s="349"/>
      <c r="S315" s="334"/>
      <c r="T315" s="334"/>
      <c r="U315" s="334"/>
      <c r="V315" s="334"/>
      <c r="W315" s="334"/>
      <c r="X315" s="334"/>
      <c r="Y315" s="334"/>
      <c r="Z315" s="334"/>
      <c r="AA315" s="334"/>
    </row>
    <row r="316" spans="1:27" ht="94.5" hidden="1">
      <c r="A316" s="334" t="s">
        <v>3433</v>
      </c>
      <c r="B316" s="335" t="s">
        <v>3321</v>
      </c>
      <c r="C316" s="334" t="s">
        <v>3535</v>
      </c>
      <c r="D316" s="334" t="s">
        <v>909</v>
      </c>
      <c r="E316" s="334" t="s">
        <v>3536</v>
      </c>
      <c r="F316" s="334" t="s">
        <v>2993</v>
      </c>
      <c r="G316" s="334" t="s">
        <v>2957</v>
      </c>
      <c r="H316" s="334" t="s">
        <v>3537</v>
      </c>
      <c r="I316" s="343">
        <v>0.5</v>
      </c>
      <c r="J316" s="352" t="s">
        <v>3000</v>
      </c>
      <c r="K316" s="334"/>
      <c r="L316" s="344"/>
      <c r="M316" s="334"/>
      <c r="N316" s="334"/>
      <c r="O316" s="345"/>
      <c r="P316" s="334"/>
      <c r="Q316" s="340"/>
      <c r="R316" s="349"/>
      <c r="S316" s="334"/>
      <c r="T316" s="334"/>
      <c r="U316" s="334"/>
      <c r="V316" s="334"/>
      <c r="W316" s="334"/>
      <c r="X316" s="334"/>
      <c r="Y316" s="334"/>
      <c r="Z316" s="334"/>
      <c r="AA316" s="334"/>
    </row>
    <row r="317" spans="1:27" ht="94.5" hidden="1">
      <c r="A317" s="334" t="s">
        <v>3433</v>
      </c>
      <c r="B317" s="335" t="s">
        <v>3321</v>
      </c>
      <c r="C317" s="334" t="s">
        <v>3535</v>
      </c>
      <c r="D317" s="334" t="s">
        <v>912</v>
      </c>
      <c r="E317" s="334" t="s">
        <v>3538</v>
      </c>
      <c r="F317" s="334" t="s">
        <v>2993</v>
      </c>
      <c r="G317" s="334" t="s">
        <v>2957</v>
      </c>
      <c r="H317" s="334" t="s">
        <v>3453</v>
      </c>
      <c r="I317" s="343">
        <v>0.5</v>
      </c>
      <c r="J317" s="352" t="s">
        <v>3000</v>
      </c>
      <c r="K317" s="334"/>
      <c r="L317" s="344"/>
      <c r="M317" s="334"/>
      <c r="N317" s="334"/>
      <c r="O317" s="345"/>
      <c r="P317" s="334"/>
      <c r="Q317" s="340"/>
      <c r="R317" s="349"/>
      <c r="S317" s="334"/>
      <c r="T317" s="334"/>
      <c r="U317" s="334"/>
      <c r="V317" s="334"/>
      <c r="W317" s="334"/>
      <c r="X317" s="334"/>
      <c r="Y317" s="334"/>
      <c r="Z317" s="334"/>
      <c r="AA317" s="334"/>
    </row>
    <row r="318" spans="1:27" ht="57.6" hidden="1" customHeight="1">
      <c r="A318" s="334" t="s">
        <v>3433</v>
      </c>
      <c r="B318" s="335" t="s">
        <v>3321</v>
      </c>
      <c r="C318" s="334" t="s">
        <v>3535</v>
      </c>
      <c r="D318" s="334" t="s">
        <v>914</v>
      </c>
      <c r="E318" s="334" t="s">
        <v>3539</v>
      </c>
      <c r="F318" s="334" t="s">
        <v>2993</v>
      </c>
      <c r="G318" s="334" t="s">
        <v>2957</v>
      </c>
      <c r="H318" s="334" t="s">
        <v>3540</v>
      </c>
      <c r="I318" s="343">
        <v>0.5</v>
      </c>
      <c r="J318" s="352" t="s">
        <v>3000</v>
      </c>
      <c r="K318" s="334"/>
      <c r="L318" s="344"/>
      <c r="M318" s="334"/>
      <c r="N318" s="334"/>
      <c r="O318" s="345"/>
      <c r="P318" s="334"/>
      <c r="Q318" s="340"/>
      <c r="R318" s="349"/>
      <c r="S318" s="334"/>
      <c r="T318" s="334"/>
      <c r="U318" s="334"/>
      <c r="V318" s="334"/>
      <c r="W318" s="334"/>
      <c r="X318" s="334"/>
      <c r="Y318" s="334"/>
      <c r="Z318" s="334"/>
      <c r="AA318" s="334"/>
    </row>
    <row r="319" spans="1:27" hidden="1">
      <c r="A319" s="411" t="s">
        <v>3541</v>
      </c>
      <c r="B319" s="412"/>
      <c r="C319" s="413"/>
      <c r="D319" s="413"/>
      <c r="E319" s="413"/>
      <c r="F319" s="413"/>
      <c r="G319" s="413"/>
      <c r="H319" s="413"/>
      <c r="I319" s="414"/>
      <c r="J319" s="414"/>
      <c r="K319" s="413"/>
      <c r="L319" s="413"/>
      <c r="M319" s="413"/>
      <c r="N319" s="413"/>
      <c r="O319" s="413"/>
      <c r="P319" s="415"/>
      <c r="Q319" s="416"/>
      <c r="R319" s="417"/>
      <c r="S319" s="413"/>
      <c r="T319" s="413"/>
      <c r="U319" s="413"/>
      <c r="V319" s="413"/>
      <c r="W319" s="413"/>
      <c r="X319" s="413"/>
      <c r="Y319" s="413"/>
      <c r="Z319" s="413"/>
      <c r="AA319" s="413"/>
    </row>
    <row r="320" spans="1:27" ht="81" hidden="1" customHeight="1">
      <c r="A320" s="334" t="s">
        <v>3542</v>
      </c>
      <c r="B320" s="408" t="s">
        <v>2951</v>
      </c>
      <c r="C320" s="409" t="s">
        <v>3543</v>
      </c>
      <c r="D320" s="409" t="s">
        <v>919</v>
      </c>
      <c r="E320" s="409" t="s">
        <v>3544</v>
      </c>
      <c r="F320" s="442"/>
      <c r="G320" s="485" t="s">
        <v>2957</v>
      </c>
      <c r="H320" s="485"/>
      <c r="I320" s="485"/>
      <c r="J320" s="442"/>
      <c r="K320" s="442"/>
      <c r="L320" s="444"/>
      <c r="M320" s="442"/>
      <c r="N320" s="442"/>
      <c r="O320" s="445"/>
      <c r="P320" s="442"/>
      <c r="Q320" s="340"/>
      <c r="R320" s="446"/>
      <c r="S320" s="442"/>
      <c r="T320" s="442"/>
      <c r="U320" s="442"/>
      <c r="V320" s="442"/>
      <c r="W320" s="442"/>
      <c r="X320" s="442"/>
      <c r="Y320" s="442"/>
      <c r="Z320" s="442"/>
      <c r="AA320" s="334"/>
    </row>
    <row r="321" spans="1:51" ht="66.95" hidden="1" customHeight="1">
      <c r="A321" s="334" t="s">
        <v>3542</v>
      </c>
      <c r="B321" s="408" t="s">
        <v>2951</v>
      </c>
      <c r="C321" s="409" t="s">
        <v>3543</v>
      </c>
      <c r="D321" s="409" t="s">
        <v>922</v>
      </c>
      <c r="E321" s="348" t="s">
        <v>3545</v>
      </c>
      <c r="F321" s="334" t="s">
        <v>2964</v>
      </c>
      <c r="G321" s="409" t="s">
        <v>2957</v>
      </c>
      <c r="H321" s="409" t="s">
        <v>3437</v>
      </c>
      <c r="I321" s="409" t="s">
        <v>3253</v>
      </c>
      <c r="J321" s="352" t="s">
        <v>3000</v>
      </c>
      <c r="K321" s="334"/>
      <c r="L321" s="344"/>
      <c r="M321" s="334"/>
      <c r="N321" s="334"/>
      <c r="O321" s="345"/>
      <c r="P321" s="334"/>
      <c r="Q321" s="340"/>
      <c r="R321" s="349"/>
      <c r="S321" s="334"/>
      <c r="T321" s="334"/>
      <c r="U321" s="334"/>
      <c r="V321" s="334"/>
      <c r="W321" s="334"/>
      <c r="X321" s="334"/>
      <c r="Y321" s="334"/>
      <c r="Z321" s="334"/>
      <c r="AA321" s="334"/>
    </row>
    <row r="322" spans="1:51" ht="81.75" hidden="1" customHeight="1">
      <c r="A322" s="334" t="s">
        <v>3542</v>
      </c>
      <c r="B322" s="408" t="s">
        <v>2951</v>
      </c>
      <c r="C322" s="409" t="s">
        <v>3543</v>
      </c>
      <c r="D322" s="409" t="s">
        <v>924</v>
      </c>
      <c r="E322" s="348" t="s">
        <v>3546</v>
      </c>
      <c r="F322" s="334" t="s">
        <v>3547</v>
      </c>
      <c r="G322" s="409" t="s">
        <v>2957</v>
      </c>
      <c r="H322" s="409" t="s">
        <v>3437</v>
      </c>
      <c r="I322" s="409" t="s">
        <v>3253</v>
      </c>
      <c r="J322" s="352" t="s">
        <v>3000</v>
      </c>
      <c r="K322" s="334"/>
      <c r="L322" s="344"/>
      <c r="M322" s="334"/>
      <c r="N322" s="334"/>
      <c r="O322" s="345"/>
      <c r="P322" s="334"/>
      <c r="Q322" s="340"/>
      <c r="R322" s="349"/>
      <c r="S322" s="334"/>
      <c r="T322" s="334"/>
      <c r="U322" s="334"/>
      <c r="V322" s="334"/>
      <c r="W322" s="334"/>
      <c r="X322" s="334"/>
      <c r="Y322" s="334"/>
      <c r="Z322" s="334"/>
      <c r="AA322" s="334"/>
    </row>
    <row r="323" spans="1:51" ht="79.5" hidden="1" customHeight="1">
      <c r="A323" s="334" t="s">
        <v>3542</v>
      </c>
      <c r="B323" s="408" t="s">
        <v>2951</v>
      </c>
      <c r="C323" s="409" t="s">
        <v>3543</v>
      </c>
      <c r="D323" s="409" t="s">
        <v>926</v>
      </c>
      <c r="E323" s="348" t="s">
        <v>3548</v>
      </c>
      <c r="F323" s="334" t="s">
        <v>2964</v>
      </c>
      <c r="G323" s="409" t="s">
        <v>2957</v>
      </c>
      <c r="H323" s="409" t="s">
        <v>3437</v>
      </c>
      <c r="I323" s="409" t="s">
        <v>3253</v>
      </c>
      <c r="J323" s="352" t="s">
        <v>3000</v>
      </c>
      <c r="K323" s="334"/>
      <c r="L323" s="344"/>
      <c r="M323" s="334"/>
      <c r="N323" s="334"/>
      <c r="O323" s="345"/>
      <c r="P323" s="334"/>
      <c r="Q323" s="340"/>
      <c r="R323" s="349"/>
      <c r="S323" s="334"/>
      <c r="T323" s="334"/>
      <c r="U323" s="334"/>
      <c r="V323" s="334"/>
      <c r="W323" s="334"/>
      <c r="X323" s="334"/>
      <c r="Y323" s="334"/>
      <c r="Z323" s="334"/>
      <c r="AA323" s="334"/>
    </row>
    <row r="324" spans="1:51" ht="94.5" hidden="1">
      <c r="A324" s="334" t="s">
        <v>3542</v>
      </c>
      <c r="B324" s="408" t="s">
        <v>2951</v>
      </c>
      <c r="C324" s="409" t="s">
        <v>3549</v>
      </c>
      <c r="D324" s="409" t="s">
        <v>929</v>
      </c>
      <c r="E324" s="409" t="s">
        <v>3550</v>
      </c>
      <c r="F324" s="442"/>
      <c r="G324" s="485" t="s">
        <v>2957</v>
      </c>
      <c r="H324" s="442"/>
      <c r="I324" s="442"/>
      <c r="J324" s="442"/>
      <c r="K324" s="442"/>
      <c r="L324" s="444"/>
      <c r="M324" s="442"/>
      <c r="N324" s="442"/>
      <c r="O324" s="445"/>
      <c r="P324" s="442"/>
      <c r="Q324" s="340"/>
      <c r="R324" s="446"/>
      <c r="S324" s="442"/>
      <c r="T324" s="442"/>
      <c r="U324" s="442"/>
      <c r="V324" s="442"/>
      <c r="W324" s="442"/>
      <c r="X324" s="442"/>
      <c r="Y324" s="442"/>
      <c r="Z324" s="442"/>
      <c r="AA324" s="334"/>
    </row>
    <row r="325" spans="1:51" ht="59.1" hidden="1" customHeight="1">
      <c r="A325" s="334" t="s">
        <v>3542</v>
      </c>
      <c r="B325" s="408" t="s">
        <v>2951</v>
      </c>
      <c r="C325" s="409" t="s">
        <v>3549</v>
      </c>
      <c r="D325" s="409" t="s">
        <v>931</v>
      </c>
      <c r="E325" s="348" t="s">
        <v>3551</v>
      </c>
      <c r="F325" s="334" t="s">
        <v>2993</v>
      </c>
      <c r="G325" s="409" t="s">
        <v>2957</v>
      </c>
      <c r="H325" s="409" t="s">
        <v>2980</v>
      </c>
      <c r="I325" s="409" t="s">
        <v>3552</v>
      </c>
      <c r="J325" s="352" t="s">
        <v>3000</v>
      </c>
      <c r="K325" s="334"/>
      <c r="L325" s="344"/>
      <c r="M325" s="334"/>
      <c r="N325" s="334"/>
      <c r="O325" s="345"/>
      <c r="P325" s="334"/>
      <c r="Q325" s="340"/>
      <c r="R325" s="349"/>
      <c r="S325" s="334"/>
      <c r="T325" s="334"/>
      <c r="U325" s="334"/>
      <c r="V325" s="334"/>
      <c r="W325" s="334"/>
      <c r="X325" s="334"/>
      <c r="Y325" s="334"/>
      <c r="Z325" s="334"/>
      <c r="AA325" s="334"/>
    </row>
    <row r="326" spans="1:51" ht="102.75" hidden="1" customHeight="1">
      <c r="A326" s="334" t="s">
        <v>3542</v>
      </c>
      <c r="B326" s="408" t="s">
        <v>2951</v>
      </c>
      <c r="C326" s="409" t="s">
        <v>3549</v>
      </c>
      <c r="D326" s="409" t="s">
        <v>934</v>
      </c>
      <c r="E326" s="348" t="s">
        <v>3553</v>
      </c>
      <c r="F326" s="334" t="s">
        <v>2964</v>
      </c>
      <c r="G326" s="409" t="s">
        <v>2957</v>
      </c>
      <c r="H326" s="409" t="s">
        <v>2980</v>
      </c>
      <c r="I326" s="409" t="s">
        <v>3552</v>
      </c>
      <c r="J326" s="352" t="s">
        <v>3000</v>
      </c>
      <c r="K326" s="334"/>
      <c r="L326" s="344"/>
      <c r="M326" s="334"/>
      <c r="N326" s="334"/>
      <c r="O326" s="345"/>
      <c r="P326" s="334"/>
      <c r="Q326" s="340"/>
      <c r="R326" s="349"/>
      <c r="S326" s="334"/>
      <c r="T326" s="334"/>
      <c r="U326" s="334"/>
      <c r="V326" s="334"/>
      <c r="W326" s="334"/>
      <c r="X326" s="334"/>
      <c r="Y326" s="334"/>
      <c r="Z326" s="334"/>
      <c r="AA326" s="334"/>
    </row>
    <row r="327" spans="1:51" ht="94.5" hidden="1">
      <c r="A327" s="334" t="s">
        <v>3542</v>
      </c>
      <c r="B327" s="408" t="s">
        <v>2951</v>
      </c>
      <c r="C327" s="409" t="s">
        <v>3549</v>
      </c>
      <c r="D327" s="409" t="s">
        <v>936</v>
      </c>
      <c r="E327" s="348" t="s">
        <v>3554</v>
      </c>
      <c r="F327" s="334" t="s">
        <v>2964</v>
      </c>
      <c r="G327" s="409" t="s">
        <v>2957</v>
      </c>
      <c r="H327" s="409" t="s">
        <v>2980</v>
      </c>
      <c r="I327" s="409" t="s">
        <v>3552</v>
      </c>
      <c r="J327" s="352" t="s">
        <v>3000</v>
      </c>
      <c r="K327" s="334"/>
      <c r="L327" s="344"/>
      <c r="M327" s="334"/>
      <c r="N327" s="334"/>
      <c r="O327" s="345"/>
      <c r="P327" s="334"/>
      <c r="Q327" s="340"/>
      <c r="R327" s="349"/>
      <c r="S327" s="334"/>
      <c r="T327" s="334"/>
      <c r="U327" s="334"/>
      <c r="V327" s="334"/>
      <c r="W327" s="334"/>
      <c r="X327" s="334"/>
      <c r="Y327" s="334"/>
      <c r="Z327" s="334"/>
      <c r="AA327" s="334"/>
    </row>
    <row r="328" spans="1:51" ht="84.6" hidden="1" customHeight="1">
      <c r="A328" s="334" t="s">
        <v>3542</v>
      </c>
      <c r="B328" s="408" t="s">
        <v>2951</v>
      </c>
      <c r="C328" s="409" t="s">
        <v>3549</v>
      </c>
      <c r="D328" s="409" t="s">
        <v>938</v>
      </c>
      <c r="E328" s="348" t="s">
        <v>3555</v>
      </c>
      <c r="F328" s="334" t="s">
        <v>2993</v>
      </c>
      <c r="G328" s="409" t="s">
        <v>2957</v>
      </c>
      <c r="H328" s="409" t="s">
        <v>2980</v>
      </c>
      <c r="I328" s="409" t="s">
        <v>3552</v>
      </c>
      <c r="J328" s="352" t="s">
        <v>3000</v>
      </c>
      <c r="K328" s="334"/>
      <c r="L328" s="344"/>
      <c r="M328" s="334"/>
      <c r="N328" s="334"/>
      <c r="O328" s="345"/>
      <c r="P328" s="334"/>
      <c r="Q328" s="340"/>
      <c r="R328" s="349"/>
      <c r="S328" s="334"/>
      <c r="T328" s="334"/>
      <c r="U328" s="334"/>
      <c r="V328" s="334"/>
      <c r="W328" s="334"/>
      <c r="X328" s="334"/>
      <c r="Y328" s="334"/>
      <c r="Z328" s="334"/>
      <c r="AA328" s="334"/>
    </row>
    <row r="329" spans="1:51" ht="131.1" hidden="1" customHeight="1">
      <c r="A329" s="334" t="s">
        <v>3542</v>
      </c>
      <c r="B329" s="408" t="s">
        <v>2951</v>
      </c>
      <c r="C329" s="409" t="s">
        <v>3549</v>
      </c>
      <c r="D329" s="409" t="s">
        <v>940</v>
      </c>
      <c r="E329" s="409" t="s">
        <v>3556</v>
      </c>
      <c r="F329" s="334" t="s">
        <v>2993</v>
      </c>
      <c r="G329" s="409" t="s">
        <v>2957</v>
      </c>
      <c r="H329" s="409" t="s">
        <v>3277</v>
      </c>
      <c r="I329" s="409" t="s">
        <v>3278</v>
      </c>
      <c r="J329" s="352" t="s">
        <v>3000</v>
      </c>
      <c r="K329" s="334"/>
      <c r="L329" s="344"/>
      <c r="M329" s="334"/>
      <c r="N329" s="334"/>
      <c r="O329" s="345"/>
      <c r="P329" s="334"/>
      <c r="Q329" s="340"/>
      <c r="R329" s="349"/>
      <c r="S329" s="334"/>
      <c r="T329" s="334"/>
      <c r="U329" s="334"/>
      <c r="V329" s="334"/>
      <c r="W329" s="334"/>
      <c r="X329" s="334"/>
      <c r="Y329" s="334"/>
      <c r="Z329" s="334"/>
      <c r="AA329" s="334"/>
    </row>
    <row r="330" spans="1:51" ht="94.5" hidden="1">
      <c r="A330" s="334" t="s">
        <v>3542</v>
      </c>
      <c r="B330" s="408" t="s">
        <v>2951</v>
      </c>
      <c r="C330" s="409" t="s">
        <v>3549</v>
      </c>
      <c r="D330" s="409" t="s">
        <v>942</v>
      </c>
      <c r="E330" s="409" t="s">
        <v>3557</v>
      </c>
      <c r="F330" s="334" t="s">
        <v>2964</v>
      </c>
      <c r="G330" s="409" t="s">
        <v>2957</v>
      </c>
      <c r="H330" s="409" t="s">
        <v>3458</v>
      </c>
      <c r="I330" s="419">
        <v>1</v>
      </c>
      <c r="J330" s="352" t="s">
        <v>3000</v>
      </c>
      <c r="K330" s="334"/>
      <c r="L330" s="344"/>
      <c r="M330" s="334"/>
      <c r="N330" s="334"/>
      <c r="O330" s="345"/>
      <c r="P330" s="334"/>
      <c r="Q330" s="340"/>
      <c r="R330" s="349"/>
      <c r="S330" s="334"/>
      <c r="T330" s="334"/>
      <c r="U330" s="334"/>
      <c r="V330" s="334"/>
      <c r="W330" s="334"/>
      <c r="X330" s="334"/>
      <c r="Y330" s="334"/>
      <c r="Z330" s="334"/>
      <c r="AA330" s="334"/>
    </row>
    <row r="331" spans="1:51" ht="80.45" hidden="1" customHeight="1">
      <c r="A331" s="334" t="s">
        <v>3542</v>
      </c>
      <c r="B331" s="408" t="s">
        <v>2951</v>
      </c>
      <c r="C331" s="409" t="s">
        <v>3549</v>
      </c>
      <c r="D331" s="409" t="s">
        <v>945</v>
      </c>
      <c r="E331" s="409" t="s">
        <v>3558</v>
      </c>
      <c r="F331" s="334" t="s">
        <v>2956</v>
      </c>
      <c r="G331" s="409" t="s">
        <v>2957</v>
      </c>
      <c r="H331" s="409" t="s">
        <v>3458</v>
      </c>
      <c r="I331" s="419">
        <v>1</v>
      </c>
      <c r="J331" s="352" t="s">
        <v>3000</v>
      </c>
      <c r="K331" s="334"/>
      <c r="L331" s="344"/>
      <c r="M331" s="334"/>
      <c r="N331" s="334"/>
      <c r="O331" s="345"/>
      <c r="P331" s="334"/>
      <c r="Q331" s="340"/>
      <c r="R331" s="349"/>
      <c r="S331" s="334"/>
      <c r="T331" s="334"/>
      <c r="U331" s="334"/>
      <c r="V331" s="334"/>
      <c r="W331" s="334"/>
      <c r="X331" s="334"/>
      <c r="Y331" s="334"/>
      <c r="Z331" s="334"/>
      <c r="AA331" s="334"/>
    </row>
    <row r="332" spans="1:51" s="478" customFormat="1" ht="38.25" hidden="1" customHeight="1">
      <c r="A332" s="442" t="s">
        <v>22</v>
      </c>
      <c r="B332" s="484" t="s">
        <v>54</v>
      </c>
      <c r="C332" s="485" t="s">
        <v>947</v>
      </c>
      <c r="D332" s="442" t="s">
        <v>582</v>
      </c>
      <c r="E332" s="485" t="s">
        <v>582</v>
      </c>
      <c r="F332" s="486" t="s">
        <v>582</v>
      </c>
      <c r="G332" s="442" t="s">
        <v>582</v>
      </c>
      <c r="H332" s="442" t="s">
        <v>582</v>
      </c>
      <c r="I332" s="442" t="s">
        <v>582</v>
      </c>
      <c r="J332" s="442" t="s">
        <v>582</v>
      </c>
      <c r="K332" s="442" t="s">
        <v>582</v>
      </c>
      <c r="L332" s="442" t="s">
        <v>582</v>
      </c>
      <c r="M332" s="442" t="s">
        <v>582</v>
      </c>
      <c r="N332" s="442" t="s">
        <v>582</v>
      </c>
      <c r="O332" s="442" t="s">
        <v>582</v>
      </c>
      <c r="P332" s="442" t="s">
        <v>582</v>
      </c>
      <c r="Q332" s="391"/>
      <c r="R332" s="446" t="s">
        <v>582</v>
      </c>
      <c r="S332" s="442" t="s">
        <v>582</v>
      </c>
      <c r="T332" s="442" t="s">
        <v>582</v>
      </c>
      <c r="U332" s="442"/>
      <c r="V332" s="442" t="s">
        <v>582</v>
      </c>
      <c r="W332" s="442" t="s">
        <v>582</v>
      </c>
      <c r="X332" s="442" t="s">
        <v>582</v>
      </c>
      <c r="Y332" s="442" t="s">
        <v>582</v>
      </c>
      <c r="Z332" s="442" t="s">
        <v>582</v>
      </c>
      <c r="AA332" s="442" t="s">
        <v>582</v>
      </c>
      <c r="AB332" s="327"/>
      <c r="AC332" s="327"/>
      <c r="AD332" s="327"/>
      <c r="AE332" s="327"/>
      <c r="AF332" s="327"/>
      <c r="AG332" s="327"/>
      <c r="AH332" s="327"/>
      <c r="AI332" s="327"/>
      <c r="AJ332" s="327"/>
      <c r="AK332" s="327"/>
      <c r="AL332" s="327"/>
      <c r="AM332" s="327"/>
      <c r="AN332" s="327"/>
      <c r="AO332" s="327"/>
      <c r="AP332" s="327"/>
      <c r="AQ332" s="327"/>
      <c r="AR332" s="327"/>
      <c r="AS332" s="327"/>
      <c r="AT332" s="327"/>
      <c r="AU332" s="327"/>
      <c r="AV332" s="327"/>
      <c r="AW332" s="327"/>
      <c r="AX332" s="327"/>
      <c r="AY332" s="327"/>
    </row>
    <row r="333" spans="1:51" ht="47.25" hidden="1">
      <c r="A333" s="334" t="s">
        <v>3542</v>
      </c>
      <c r="B333" s="408" t="s">
        <v>195</v>
      </c>
      <c r="C333" s="409" t="s">
        <v>3559</v>
      </c>
      <c r="D333" s="409" t="s">
        <v>949</v>
      </c>
      <c r="E333" s="409" t="s">
        <v>3560</v>
      </c>
      <c r="F333" s="334" t="s">
        <v>2993</v>
      </c>
      <c r="G333" s="409" t="s">
        <v>2957</v>
      </c>
      <c r="H333" s="409" t="s">
        <v>3561</v>
      </c>
      <c r="I333" s="419">
        <v>1</v>
      </c>
      <c r="J333" s="352" t="s">
        <v>3000</v>
      </c>
      <c r="K333" s="334"/>
      <c r="L333" s="344"/>
      <c r="M333" s="334"/>
      <c r="N333" s="334"/>
      <c r="O333" s="345"/>
      <c r="P333" s="334"/>
      <c r="Q333" s="340"/>
      <c r="R333" s="349"/>
      <c r="S333" s="334"/>
      <c r="T333" s="334"/>
      <c r="U333" s="334"/>
      <c r="V333" s="334"/>
      <c r="W333" s="334"/>
      <c r="X333" s="334"/>
      <c r="Y333" s="334"/>
      <c r="Z333" s="334"/>
      <c r="AA333" s="334"/>
    </row>
    <row r="334" spans="1:51" ht="63" hidden="1">
      <c r="A334" s="334" t="s">
        <v>3542</v>
      </c>
      <c r="B334" s="408" t="s">
        <v>195</v>
      </c>
      <c r="C334" s="409" t="s">
        <v>952</v>
      </c>
      <c r="D334" s="409" t="s">
        <v>953</v>
      </c>
      <c r="E334" s="409" t="s">
        <v>3562</v>
      </c>
      <c r="F334" s="334" t="s">
        <v>2964</v>
      </c>
      <c r="G334" s="409" t="s">
        <v>2957</v>
      </c>
      <c r="H334" s="409" t="s">
        <v>3563</v>
      </c>
      <c r="I334" s="419">
        <v>1</v>
      </c>
      <c r="J334" s="352" t="s">
        <v>3000</v>
      </c>
      <c r="K334" s="334"/>
      <c r="L334" s="344"/>
      <c r="M334" s="334"/>
      <c r="N334" s="334"/>
      <c r="O334" s="345"/>
      <c r="P334" s="334"/>
      <c r="Q334" s="340"/>
      <c r="R334" s="349"/>
      <c r="S334" s="334"/>
      <c r="T334" s="334"/>
      <c r="U334" s="334"/>
      <c r="V334" s="334"/>
      <c r="W334" s="334"/>
      <c r="X334" s="334"/>
      <c r="Y334" s="334"/>
      <c r="Z334" s="334"/>
      <c r="AA334" s="334"/>
    </row>
    <row r="335" spans="1:51" s="478" customFormat="1" ht="34.5" hidden="1" customHeight="1">
      <c r="A335" s="442" t="s">
        <v>22</v>
      </c>
      <c r="B335" s="484" t="s">
        <v>195</v>
      </c>
      <c r="C335" s="485" t="s">
        <v>956</v>
      </c>
      <c r="D335" s="442" t="s">
        <v>582</v>
      </c>
      <c r="E335" s="485" t="s">
        <v>582</v>
      </c>
      <c r="F335" s="485" t="s">
        <v>582</v>
      </c>
      <c r="G335" s="442" t="s">
        <v>582</v>
      </c>
      <c r="H335" s="442" t="s">
        <v>582</v>
      </c>
      <c r="I335" s="442" t="s">
        <v>582</v>
      </c>
      <c r="J335" s="442" t="s">
        <v>582</v>
      </c>
      <c r="K335" s="442" t="s">
        <v>582</v>
      </c>
      <c r="L335" s="442" t="s">
        <v>582</v>
      </c>
      <c r="M335" s="442" t="s">
        <v>582</v>
      </c>
      <c r="N335" s="442" t="s">
        <v>582</v>
      </c>
      <c r="O335" s="442" t="s">
        <v>582</v>
      </c>
      <c r="P335" s="442" t="s">
        <v>582</v>
      </c>
      <c r="Q335" s="391"/>
      <c r="R335" s="446" t="s">
        <v>582</v>
      </c>
      <c r="S335" s="442" t="s">
        <v>582</v>
      </c>
      <c r="T335" s="442" t="s">
        <v>582</v>
      </c>
      <c r="U335" s="442"/>
      <c r="V335" s="442" t="s">
        <v>582</v>
      </c>
      <c r="W335" s="442" t="s">
        <v>582</v>
      </c>
      <c r="X335" s="442" t="s">
        <v>582</v>
      </c>
      <c r="Y335" s="442" t="s">
        <v>582</v>
      </c>
      <c r="Z335" s="442" t="s">
        <v>582</v>
      </c>
      <c r="AA335" s="442" t="s">
        <v>582</v>
      </c>
      <c r="AB335" s="327"/>
      <c r="AC335" s="327"/>
      <c r="AD335" s="327"/>
      <c r="AE335" s="327"/>
      <c r="AF335" s="327"/>
      <c r="AG335" s="327"/>
      <c r="AH335" s="327"/>
      <c r="AI335" s="327"/>
      <c r="AJ335" s="327"/>
      <c r="AK335" s="327"/>
      <c r="AL335" s="327"/>
      <c r="AM335" s="327"/>
      <c r="AN335" s="327"/>
      <c r="AO335" s="327"/>
      <c r="AP335" s="327"/>
      <c r="AQ335" s="327"/>
      <c r="AR335" s="327"/>
      <c r="AS335" s="327"/>
      <c r="AT335" s="327"/>
      <c r="AU335" s="327"/>
      <c r="AV335" s="327"/>
      <c r="AW335" s="327"/>
      <c r="AX335" s="327"/>
      <c r="AY335" s="327"/>
    </row>
    <row r="336" spans="1:51" ht="47.25" hidden="1">
      <c r="A336" s="334" t="s">
        <v>3542</v>
      </c>
      <c r="B336" s="408" t="s">
        <v>195</v>
      </c>
      <c r="C336" s="409" t="s">
        <v>3564</v>
      </c>
      <c r="D336" s="409" t="s">
        <v>958</v>
      </c>
      <c r="E336" s="409" t="s">
        <v>3565</v>
      </c>
      <c r="F336" s="334" t="s">
        <v>2993</v>
      </c>
      <c r="G336" s="409" t="s">
        <v>2957</v>
      </c>
      <c r="H336" s="409" t="s">
        <v>3566</v>
      </c>
      <c r="I336" s="409" t="s">
        <v>3382</v>
      </c>
      <c r="J336" s="352" t="s">
        <v>3000</v>
      </c>
      <c r="K336" s="334"/>
      <c r="L336" s="344"/>
      <c r="M336" s="334"/>
      <c r="N336" s="334"/>
      <c r="O336" s="345"/>
      <c r="P336" s="334"/>
      <c r="Q336" s="340"/>
      <c r="R336" s="349"/>
      <c r="S336" s="334"/>
      <c r="T336" s="334"/>
      <c r="U336" s="334"/>
      <c r="V336" s="334"/>
      <c r="W336" s="334"/>
      <c r="X336" s="334"/>
      <c r="Y336" s="334"/>
      <c r="Z336" s="334"/>
      <c r="AA336" s="334"/>
    </row>
    <row r="337" spans="1:51" ht="49.9" hidden="1" customHeight="1">
      <c r="A337" s="334" t="s">
        <v>3542</v>
      </c>
      <c r="B337" s="408" t="s">
        <v>195</v>
      </c>
      <c r="C337" s="409" t="s">
        <v>3564</v>
      </c>
      <c r="D337" s="409" t="s">
        <v>961</v>
      </c>
      <c r="E337" s="409" t="s">
        <v>3567</v>
      </c>
      <c r="F337" s="334" t="s">
        <v>2964</v>
      </c>
      <c r="G337" s="409" t="s">
        <v>2957</v>
      </c>
      <c r="H337" s="409" t="s">
        <v>3304</v>
      </c>
      <c r="I337" s="409" t="s">
        <v>3109</v>
      </c>
      <c r="J337" s="352" t="s">
        <v>3000</v>
      </c>
      <c r="K337" s="334"/>
      <c r="L337" s="344"/>
      <c r="M337" s="334"/>
      <c r="N337" s="334"/>
      <c r="O337" s="345"/>
      <c r="P337" s="334"/>
      <c r="Q337" s="340"/>
      <c r="R337" s="349"/>
      <c r="S337" s="334"/>
      <c r="T337" s="334"/>
      <c r="U337" s="334"/>
      <c r="V337" s="334"/>
      <c r="W337" s="334"/>
      <c r="X337" s="334"/>
      <c r="Y337" s="334"/>
      <c r="Z337" s="334"/>
      <c r="AA337" s="334"/>
    </row>
    <row r="338" spans="1:51" ht="48.6" hidden="1" customHeight="1">
      <c r="A338" s="334" t="s">
        <v>3542</v>
      </c>
      <c r="B338" s="408" t="s">
        <v>195</v>
      </c>
      <c r="C338" s="409" t="s">
        <v>3564</v>
      </c>
      <c r="D338" s="409" t="s">
        <v>963</v>
      </c>
      <c r="E338" s="409" t="s">
        <v>3568</v>
      </c>
      <c r="F338" s="334" t="s">
        <v>2956</v>
      </c>
      <c r="G338" s="409" t="s">
        <v>2957</v>
      </c>
      <c r="H338" s="409" t="s">
        <v>3117</v>
      </c>
      <c r="I338" s="409" t="s">
        <v>3113</v>
      </c>
      <c r="J338" s="352" t="s">
        <v>3000</v>
      </c>
      <c r="K338" s="334"/>
      <c r="L338" s="344"/>
      <c r="M338" s="334"/>
      <c r="N338" s="334"/>
      <c r="O338" s="345"/>
      <c r="P338" s="334"/>
      <c r="Q338" s="340"/>
      <c r="R338" s="349"/>
      <c r="S338" s="334"/>
      <c r="T338" s="334"/>
      <c r="U338" s="334"/>
      <c r="V338" s="334"/>
      <c r="W338" s="334"/>
      <c r="X338" s="334"/>
      <c r="Y338" s="334"/>
      <c r="Z338" s="334"/>
      <c r="AA338" s="334"/>
    </row>
    <row r="339" spans="1:51" ht="78.75" hidden="1">
      <c r="A339" s="334" t="s">
        <v>3542</v>
      </c>
      <c r="B339" s="408" t="s">
        <v>195</v>
      </c>
      <c r="C339" s="409" t="s">
        <v>3564</v>
      </c>
      <c r="D339" s="409" t="s">
        <v>965</v>
      </c>
      <c r="E339" s="409" t="s">
        <v>3569</v>
      </c>
      <c r="F339" s="334" t="s">
        <v>2956</v>
      </c>
      <c r="G339" s="409" t="s">
        <v>2957</v>
      </c>
      <c r="H339" s="409" t="s">
        <v>3495</v>
      </c>
      <c r="I339" s="409" t="s">
        <v>3496</v>
      </c>
      <c r="J339" s="352" t="s">
        <v>3000</v>
      </c>
      <c r="K339" s="334"/>
      <c r="L339" s="344"/>
      <c r="M339" s="334"/>
      <c r="N339" s="334"/>
      <c r="O339" s="345"/>
      <c r="P339" s="334"/>
      <c r="Q339" s="340"/>
      <c r="R339" s="349"/>
      <c r="S339" s="334"/>
      <c r="T339" s="334"/>
      <c r="U339" s="334"/>
      <c r="V339" s="334"/>
      <c r="W339" s="334"/>
      <c r="X339" s="334"/>
      <c r="Y339" s="334"/>
      <c r="Z339" s="334"/>
      <c r="AA339" s="334"/>
    </row>
    <row r="340" spans="1:51" ht="47.25" hidden="1">
      <c r="A340" s="334" t="s">
        <v>3542</v>
      </c>
      <c r="B340" s="408" t="s">
        <v>195</v>
      </c>
      <c r="C340" s="409" t="s">
        <v>3564</v>
      </c>
      <c r="D340" s="409" t="s">
        <v>969</v>
      </c>
      <c r="E340" s="409" t="s">
        <v>3570</v>
      </c>
      <c r="F340" s="334" t="s">
        <v>2956</v>
      </c>
      <c r="G340" s="409" t="s">
        <v>2957</v>
      </c>
      <c r="H340" s="409" t="s">
        <v>3123</v>
      </c>
      <c r="I340" s="409" t="s">
        <v>3023</v>
      </c>
      <c r="J340" s="352" t="s">
        <v>3000</v>
      </c>
      <c r="K340" s="334"/>
      <c r="L340" s="344"/>
      <c r="M340" s="334"/>
      <c r="N340" s="334"/>
      <c r="O340" s="345"/>
      <c r="P340" s="334"/>
      <c r="Q340" s="340"/>
      <c r="R340" s="349"/>
      <c r="S340" s="334"/>
      <c r="T340" s="334"/>
      <c r="U340" s="334"/>
      <c r="V340" s="334"/>
      <c r="W340" s="334"/>
      <c r="X340" s="334"/>
      <c r="Y340" s="334"/>
      <c r="Z340" s="334"/>
      <c r="AA340" s="334"/>
    </row>
    <row r="341" spans="1:51" ht="87" hidden="1" customHeight="1">
      <c r="A341" s="334" t="s">
        <v>3542</v>
      </c>
      <c r="B341" s="408" t="s">
        <v>274</v>
      </c>
      <c r="C341" s="409" t="s">
        <v>3571</v>
      </c>
      <c r="D341" s="409" t="s">
        <v>972</v>
      </c>
      <c r="E341" s="409" t="s">
        <v>3572</v>
      </c>
      <c r="F341" s="334" t="s">
        <v>2956</v>
      </c>
      <c r="G341" s="409" t="s">
        <v>2957</v>
      </c>
      <c r="H341" s="409" t="s">
        <v>3573</v>
      </c>
      <c r="I341" s="419">
        <v>1</v>
      </c>
      <c r="J341" s="352" t="s">
        <v>3000</v>
      </c>
      <c r="K341" s="334"/>
      <c r="L341" s="344"/>
      <c r="M341" s="334"/>
      <c r="N341" s="334"/>
      <c r="O341" s="345"/>
      <c r="P341" s="334"/>
      <c r="Q341" s="340"/>
      <c r="R341" s="349"/>
      <c r="S341" s="334"/>
      <c r="T341" s="334"/>
      <c r="U341" s="334"/>
      <c r="V341" s="334"/>
      <c r="W341" s="334"/>
      <c r="X341" s="334"/>
      <c r="Y341" s="334"/>
      <c r="Z341" s="334"/>
      <c r="AA341" s="334"/>
    </row>
    <row r="342" spans="1:51" s="478" customFormat="1" ht="30" hidden="1" customHeight="1">
      <c r="A342" s="334" t="s">
        <v>3542</v>
      </c>
      <c r="B342" s="484" t="s">
        <v>274</v>
      </c>
      <c r="C342" s="485" t="s">
        <v>3574</v>
      </c>
      <c r="D342" s="485" t="s">
        <v>582</v>
      </c>
      <c r="E342" s="485" t="s">
        <v>582</v>
      </c>
      <c r="F342" s="485" t="s">
        <v>582</v>
      </c>
      <c r="G342" s="485" t="s">
        <v>582</v>
      </c>
      <c r="H342" s="485" t="s">
        <v>582</v>
      </c>
      <c r="I342" s="485" t="s">
        <v>582</v>
      </c>
      <c r="J342" s="442"/>
      <c r="K342" s="442"/>
      <c r="L342" s="442"/>
      <c r="M342" s="442"/>
      <c r="N342" s="442"/>
      <c r="O342" s="442"/>
      <c r="P342" s="442"/>
      <c r="Q342" s="391"/>
      <c r="R342" s="446"/>
      <c r="S342" s="442"/>
      <c r="T342" s="442"/>
      <c r="U342" s="442"/>
      <c r="V342" s="442"/>
      <c r="W342" s="442"/>
      <c r="X342" s="442"/>
      <c r="Y342" s="442"/>
      <c r="Z342" s="442"/>
      <c r="AA342" s="442"/>
      <c r="AB342" s="327"/>
      <c r="AC342" s="327"/>
      <c r="AD342" s="327"/>
      <c r="AE342" s="327"/>
      <c r="AF342" s="327"/>
      <c r="AG342" s="327"/>
      <c r="AH342" s="327"/>
      <c r="AI342" s="327"/>
      <c r="AJ342" s="327"/>
      <c r="AK342" s="327"/>
      <c r="AL342" s="327"/>
      <c r="AM342" s="327"/>
      <c r="AN342" s="327"/>
      <c r="AO342" s="327"/>
      <c r="AP342" s="327"/>
      <c r="AQ342" s="327"/>
      <c r="AR342" s="327"/>
      <c r="AS342" s="327"/>
      <c r="AT342" s="327"/>
      <c r="AU342" s="327"/>
      <c r="AV342" s="327"/>
      <c r="AW342" s="327"/>
      <c r="AX342" s="327"/>
      <c r="AY342" s="327"/>
    </row>
    <row r="343" spans="1:51" s="478" customFormat="1" ht="34.5" hidden="1" customHeight="1">
      <c r="A343" s="334" t="s">
        <v>3542</v>
      </c>
      <c r="B343" s="484" t="s">
        <v>274</v>
      </c>
      <c r="C343" s="485" t="s">
        <v>3575</v>
      </c>
      <c r="D343" s="485" t="s">
        <v>582</v>
      </c>
      <c r="E343" s="485" t="s">
        <v>582</v>
      </c>
      <c r="F343" s="485" t="s">
        <v>582</v>
      </c>
      <c r="G343" s="485" t="s">
        <v>582</v>
      </c>
      <c r="H343" s="485" t="s">
        <v>582</v>
      </c>
      <c r="I343" s="485" t="s">
        <v>582</v>
      </c>
      <c r="J343" s="442"/>
      <c r="K343" s="442"/>
      <c r="L343" s="442"/>
      <c r="M343" s="442"/>
      <c r="N343" s="442"/>
      <c r="O343" s="442"/>
      <c r="P343" s="442"/>
      <c r="Q343" s="391"/>
      <c r="R343" s="446"/>
      <c r="S343" s="442"/>
      <c r="T343" s="442"/>
      <c r="U343" s="442"/>
      <c r="V343" s="442"/>
      <c r="W343" s="442"/>
      <c r="X343" s="442"/>
      <c r="Y343" s="442"/>
      <c r="Z343" s="442"/>
      <c r="AA343" s="442"/>
      <c r="AB343" s="327"/>
      <c r="AC343" s="327"/>
      <c r="AD343" s="327"/>
      <c r="AE343" s="327"/>
      <c r="AF343" s="327"/>
      <c r="AG343" s="327"/>
      <c r="AH343" s="327"/>
      <c r="AI343" s="327"/>
      <c r="AJ343" s="327"/>
      <c r="AK343" s="327"/>
      <c r="AL343" s="327"/>
      <c r="AM343" s="327"/>
      <c r="AN343" s="327"/>
      <c r="AO343" s="327"/>
      <c r="AP343" s="327"/>
      <c r="AQ343" s="327"/>
      <c r="AR343" s="327"/>
      <c r="AS343" s="327"/>
      <c r="AT343" s="327"/>
      <c r="AU343" s="327"/>
      <c r="AV343" s="327"/>
      <c r="AW343" s="327"/>
      <c r="AX343" s="327"/>
      <c r="AY343" s="327"/>
    </row>
    <row r="344" spans="1:51" ht="78.75" hidden="1">
      <c r="A344" s="334" t="s">
        <v>3542</v>
      </c>
      <c r="B344" s="408" t="s">
        <v>274</v>
      </c>
      <c r="C344" s="409" t="s">
        <v>3576</v>
      </c>
      <c r="D344" s="409" t="s">
        <v>978</v>
      </c>
      <c r="E344" s="409" t="s">
        <v>3577</v>
      </c>
      <c r="F344" s="334" t="s">
        <v>3371</v>
      </c>
      <c r="G344" s="409" t="s">
        <v>2957</v>
      </c>
      <c r="H344" s="409" t="s">
        <v>3578</v>
      </c>
      <c r="I344" s="419" t="s">
        <v>3579</v>
      </c>
      <c r="J344" s="352" t="s">
        <v>3000</v>
      </c>
      <c r="K344" s="334"/>
      <c r="L344" s="344"/>
      <c r="M344" s="334"/>
      <c r="N344" s="334"/>
      <c r="O344" s="345"/>
      <c r="P344" s="334"/>
      <c r="Q344" s="340"/>
      <c r="R344" s="349"/>
      <c r="S344" s="334"/>
      <c r="T344" s="334"/>
      <c r="U344" s="334"/>
      <c r="V344" s="334"/>
      <c r="W344" s="334"/>
      <c r="X344" s="334"/>
      <c r="Y344" s="334"/>
      <c r="Z344" s="334"/>
      <c r="AA344" s="334"/>
    </row>
    <row r="345" spans="1:51" ht="78.75" hidden="1">
      <c r="A345" s="334" t="s">
        <v>3542</v>
      </c>
      <c r="B345" s="408" t="s">
        <v>274</v>
      </c>
      <c r="C345" s="409" t="s">
        <v>3576</v>
      </c>
      <c r="D345" s="409" t="s">
        <v>981</v>
      </c>
      <c r="E345" s="409" t="s">
        <v>3580</v>
      </c>
      <c r="F345" s="334" t="s">
        <v>3371</v>
      </c>
      <c r="G345" s="409" t="s">
        <v>2957</v>
      </c>
      <c r="H345" s="409" t="s">
        <v>3581</v>
      </c>
      <c r="I345" s="409" t="s">
        <v>2999</v>
      </c>
      <c r="J345" s="352" t="s">
        <v>3000</v>
      </c>
      <c r="K345" s="334"/>
      <c r="L345" s="344"/>
      <c r="M345" s="334"/>
      <c r="N345" s="334"/>
      <c r="O345" s="345"/>
      <c r="P345" s="334"/>
      <c r="Q345" s="340"/>
      <c r="R345" s="349"/>
      <c r="S345" s="334"/>
      <c r="T345" s="334"/>
      <c r="U345" s="334"/>
      <c r="V345" s="334"/>
      <c r="W345" s="334"/>
      <c r="X345" s="334"/>
      <c r="Y345" s="334"/>
      <c r="Z345" s="334"/>
      <c r="AA345" s="334"/>
    </row>
    <row r="346" spans="1:51" ht="67.5" hidden="1">
      <c r="A346" s="334" t="s">
        <v>3542</v>
      </c>
      <c r="B346" s="408" t="s">
        <v>3321</v>
      </c>
      <c r="C346" s="409" t="s">
        <v>3582</v>
      </c>
      <c r="D346" s="409" t="s">
        <v>985</v>
      </c>
      <c r="E346" s="409" t="s">
        <v>3583</v>
      </c>
      <c r="F346" s="442"/>
      <c r="G346" s="485" t="s">
        <v>2957</v>
      </c>
      <c r="H346" s="485"/>
      <c r="I346" s="487"/>
      <c r="J346" s="442"/>
      <c r="K346" s="442"/>
      <c r="L346" s="444"/>
      <c r="M346" s="442"/>
      <c r="N346" s="442"/>
      <c r="O346" s="445"/>
      <c r="P346" s="442"/>
      <c r="Q346" s="340"/>
      <c r="R346" s="446"/>
      <c r="S346" s="442"/>
      <c r="T346" s="442"/>
      <c r="U346" s="442"/>
      <c r="V346" s="442"/>
      <c r="W346" s="442"/>
      <c r="X346" s="442"/>
      <c r="Y346" s="442"/>
      <c r="Z346" s="442"/>
      <c r="AA346" s="442"/>
    </row>
    <row r="347" spans="1:51" ht="67.5" hidden="1">
      <c r="A347" s="334" t="s">
        <v>3542</v>
      </c>
      <c r="B347" s="408" t="s">
        <v>3321</v>
      </c>
      <c r="C347" s="409" t="s">
        <v>3582</v>
      </c>
      <c r="D347" s="409" t="s">
        <v>987</v>
      </c>
      <c r="E347" s="348" t="s">
        <v>3584</v>
      </c>
      <c r="F347" s="334" t="s">
        <v>2964</v>
      </c>
      <c r="G347" s="409" t="s">
        <v>2957</v>
      </c>
      <c r="H347" s="409" t="s">
        <v>3324</v>
      </c>
      <c r="I347" s="419">
        <v>1</v>
      </c>
      <c r="J347" s="352" t="s">
        <v>3000</v>
      </c>
      <c r="K347" s="334"/>
      <c r="L347" s="344"/>
      <c r="M347" s="334"/>
      <c r="N347" s="334"/>
      <c r="O347" s="345"/>
      <c r="P347" s="334"/>
      <c r="Q347" s="340"/>
      <c r="R347" s="349"/>
      <c r="S347" s="334"/>
      <c r="T347" s="334"/>
      <c r="U347" s="334"/>
      <c r="V347" s="334"/>
      <c r="W347" s="334"/>
      <c r="X347" s="334"/>
      <c r="Y347" s="334"/>
      <c r="Z347" s="334"/>
      <c r="AA347" s="334"/>
    </row>
    <row r="348" spans="1:51" ht="78.75" hidden="1">
      <c r="A348" s="334" t="s">
        <v>3542</v>
      </c>
      <c r="B348" s="408" t="s">
        <v>3321</v>
      </c>
      <c r="C348" s="409" t="s">
        <v>3582</v>
      </c>
      <c r="D348" s="409" t="s">
        <v>989</v>
      </c>
      <c r="E348" s="348" t="s">
        <v>3585</v>
      </c>
      <c r="F348" s="334" t="s">
        <v>2964</v>
      </c>
      <c r="G348" s="409" t="s">
        <v>2957</v>
      </c>
      <c r="H348" s="409" t="s">
        <v>3324</v>
      </c>
      <c r="I348" s="419">
        <v>1</v>
      </c>
      <c r="J348" s="352" t="s">
        <v>3000</v>
      </c>
      <c r="K348" s="334"/>
      <c r="L348" s="344"/>
      <c r="M348" s="334"/>
      <c r="N348" s="334"/>
      <c r="O348" s="345"/>
      <c r="P348" s="334"/>
      <c r="Q348" s="340"/>
      <c r="R348" s="349"/>
      <c r="S348" s="334"/>
      <c r="T348" s="334"/>
      <c r="U348" s="334"/>
      <c r="V348" s="334"/>
      <c r="W348" s="334"/>
      <c r="X348" s="334"/>
      <c r="Y348" s="334"/>
      <c r="Z348" s="334"/>
      <c r="AA348" s="334"/>
    </row>
    <row r="349" spans="1:51" ht="67.5" hidden="1">
      <c r="A349" s="334" t="s">
        <v>3542</v>
      </c>
      <c r="B349" s="408" t="s">
        <v>3321</v>
      </c>
      <c r="C349" s="409" t="s">
        <v>3582</v>
      </c>
      <c r="D349" s="409" t="s">
        <v>991</v>
      </c>
      <c r="E349" s="348" t="s">
        <v>3520</v>
      </c>
      <c r="F349" s="334" t="s">
        <v>2993</v>
      </c>
      <c r="G349" s="409" t="s">
        <v>2957</v>
      </c>
      <c r="H349" s="409" t="s">
        <v>3324</v>
      </c>
      <c r="I349" s="419">
        <v>1</v>
      </c>
      <c r="J349" s="352" t="s">
        <v>3000</v>
      </c>
      <c r="K349" s="334"/>
      <c r="L349" s="344"/>
      <c r="M349" s="334"/>
      <c r="N349" s="334"/>
      <c r="O349" s="345"/>
      <c r="P349" s="334"/>
      <c r="Q349" s="340"/>
      <c r="R349" s="349"/>
      <c r="S349" s="334"/>
      <c r="T349" s="334"/>
      <c r="U349" s="334"/>
      <c r="V349" s="334"/>
      <c r="W349" s="334"/>
      <c r="X349" s="334"/>
      <c r="Y349" s="334"/>
      <c r="Z349" s="334"/>
      <c r="AA349" s="334"/>
    </row>
    <row r="350" spans="1:51" ht="67.5" hidden="1">
      <c r="A350" s="334" t="s">
        <v>3542</v>
      </c>
      <c r="B350" s="408" t="s">
        <v>3321</v>
      </c>
      <c r="C350" s="409" t="s">
        <v>3582</v>
      </c>
      <c r="D350" s="409" t="s">
        <v>993</v>
      </c>
      <c r="E350" s="348" t="s">
        <v>3586</v>
      </c>
      <c r="F350" s="334" t="s">
        <v>2964</v>
      </c>
      <c r="G350" s="409" t="s">
        <v>2957</v>
      </c>
      <c r="H350" s="409" t="s">
        <v>3324</v>
      </c>
      <c r="I350" s="419">
        <v>1</v>
      </c>
      <c r="J350" s="352" t="s">
        <v>3000</v>
      </c>
      <c r="K350" s="334"/>
      <c r="L350" s="344"/>
      <c r="M350" s="334"/>
      <c r="N350" s="334"/>
      <c r="O350" s="345"/>
      <c r="P350" s="334"/>
      <c r="Q350" s="340"/>
      <c r="R350" s="349"/>
      <c r="S350" s="334"/>
      <c r="T350" s="334"/>
      <c r="U350" s="334"/>
      <c r="V350" s="334"/>
      <c r="W350" s="334"/>
      <c r="X350" s="334"/>
      <c r="Y350" s="334"/>
      <c r="Z350" s="334"/>
      <c r="AA350" s="334"/>
    </row>
    <row r="351" spans="1:51" ht="67.5" hidden="1">
      <c r="A351" s="334" t="s">
        <v>3542</v>
      </c>
      <c r="B351" s="408" t="s">
        <v>3321</v>
      </c>
      <c r="C351" s="409" t="s">
        <v>3582</v>
      </c>
      <c r="D351" s="409" t="s">
        <v>995</v>
      </c>
      <c r="E351" s="348" t="s">
        <v>3587</v>
      </c>
      <c r="F351" s="334" t="s">
        <v>2956</v>
      </c>
      <c r="G351" s="409" t="s">
        <v>2957</v>
      </c>
      <c r="H351" s="409" t="s">
        <v>3324</v>
      </c>
      <c r="I351" s="419">
        <v>1</v>
      </c>
      <c r="J351" s="352" t="s">
        <v>3000</v>
      </c>
      <c r="K351" s="334"/>
      <c r="L351" s="344"/>
      <c r="M351" s="334"/>
      <c r="N351" s="334"/>
      <c r="O351" s="345"/>
      <c r="P351" s="334"/>
      <c r="Q351" s="340"/>
      <c r="R351" s="349"/>
      <c r="S351" s="334"/>
      <c r="T351" s="334"/>
      <c r="U351" s="334"/>
      <c r="V351" s="334"/>
      <c r="W351" s="334"/>
      <c r="X351" s="334"/>
      <c r="Y351" s="334"/>
      <c r="Z351" s="334"/>
      <c r="AA351" s="334"/>
    </row>
    <row r="352" spans="1:51" ht="67.5" hidden="1">
      <c r="A352" s="334" t="s">
        <v>3542</v>
      </c>
      <c r="B352" s="408" t="s">
        <v>3321</v>
      </c>
      <c r="C352" s="409" t="s">
        <v>3582</v>
      </c>
      <c r="D352" s="409" t="s">
        <v>997</v>
      </c>
      <c r="E352" s="348" t="s">
        <v>3588</v>
      </c>
      <c r="F352" s="334" t="s">
        <v>2956</v>
      </c>
      <c r="G352" s="409" t="s">
        <v>2957</v>
      </c>
      <c r="H352" s="409" t="s">
        <v>3324</v>
      </c>
      <c r="I352" s="419">
        <v>1</v>
      </c>
      <c r="J352" s="352" t="s">
        <v>3000</v>
      </c>
      <c r="K352" s="334"/>
      <c r="L352" s="344"/>
      <c r="M352" s="334"/>
      <c r="N352" s="334"/>
      <c r="O352" s="345"/>
      <c r="P352" s="334"/>
      <c r="Q352" s="340"/>
      <c r="R352" s="349"/>
      <c r="S352" s="334"/>
      <c r="T352" s="334"/>
      <c r="U352" s="334"/>
      <c r="V352" s="334"/>
      <c r="W352" s="334"/>
      <c r="X352" s="334"/>
      <c r="Y352" s="334"/>
      <c r="Z352" s="334"/>
      <c r="AA352" s="334"/>
    </row>
    <row r="353" spans="1:27" ht="67.5" hidden="1">
      <c r="A353" s="334" t="s">
        <v>3542</v>
      </c>
      <c r="B353" s="408" t="s">
        <v>3321</v>
      </c>
      <c r="C353" s="409" t="s">
        <v>3582</v>
      </c>
      <c r="D353" s="409" t="s">
        <v>999</v>
      </c>
      <c r="E353" s="348" t="s">
        <v>3589</v>
      </c>
      <c r="F353" s="334" t="s">
        <v>2961</v>
      </c>
      <c r="G353" s="409" t="s">
        <v>2957</v>
      </c>
      <c r="H353" s="409" t="s">
        <v>3324</v>
      </c>
      <c r="I353" s="419">
        <v>1</v>
      </c>
      <c r="J353" s="352" t="s">
        <v>3000</v>
      </c>
      <c r="K353" s="334"/>
      <c r="L353" s="344"/>
      <c r="M353" s="334"/>
      <c r="N353" s="334"/>
      <c r="O353" s="345"/>
      <c r="P353" s="334"/>
      <c r="Q353" s="340"/>
      <c r="R353" s="349"/>
      <c r="S353" s="334"/>
      <c r="T353" s="334"/>
      <c r="U353" s="334"/>
      <c r="V353" s="334"/>
      <c r="W353" s="334"/>
      <c r="X353" s="334"/>
      <c r="Y353" s="334"/>
      <c r="Z353" s="334"/>
      <c r="AA353" s="334"/>
    </row>
    <row r="354" spans="1:27" ht="67.5" hidden="1">
      <c r="A354" s="334" t="s">
        <v>3542</v>
      </c>
      <c r="B354" s="408" t="s">
        <v>3321</v>
      </c>
      <c r="C354" s="409" t="s">
        <v>3582</v>
      </c>
      <c r="D354" s="409" t="s">
        <v>1001</v>
      </c>
      <c r="E354" s="348" t="s">
        <v>3590</v>
      </c>
      <c r="F354" s="334" t="s">
        <v>2961</v>
      </c>
      <c r="G354" s="409" t="s">
        <v>2957</v>
      </c>
      <c r="H354" s="409" t="s">
        <v>3591</v>
      </c>
      <c r="I354" s="419">
        <v>1</v>
      </c>
      <c r="J354" s="352" t="s">
        <v>3000</v>
      </c>
      <c r="K354" s="334"/>
      <c r="L354" s="344"/>
      <c r="M354" s="334"/>
      <c r="N354" s="334"/>
      <c r="O354" s="345"/>
      <c r="P354" s="334"/>
      <c r="Q354" s="340"/>
      <c r="R354" s="349"/>
      <c r="S354" s="334"/>
      <c r="T354" s="334"/>
      <c r="U354" s="334"/>
      <c r="V354" s="334"/>
      <c r="W354" s="334"/>
      <c r="X354" s="334"/>
      <c r="Y354" s="334"/>
      <c r="Z354" s="334"/>
      <c r="AA354" s="334"/>
    </row>
    <row r="355" spans="1:27" ht="67.5" hidden="1">
      <c r="A355" s="334" t="s">
        <v>3542</v>
      </c>
      <c r="B355" s="408" t="s">
        <v>3321</v>
      </c>
      <c r="C355" s="409" t="s">
        <v>3582</v>
      </c>
      <c r="D355" s="409" t="s">
        <v>1003</v>
      </c>
      <c r="E355" s="348" t="s">
        <v>3592</v>
      </c>
      <c r="F355" s="334" t="s">
        <v>2961</v>
      </c>
      <c r="G355" s="409" t="s">
        <v>2957</v>
      </c>
      <c r="H355" s="409" t="s">
        <v>3324</v>
      </c>
      <c r="I355" s="419">
        <v>1</v>
      </c>
      <c r="J355" s="352" t="s">
        <v>3000</v>
      </c>
      <c r="K355" s="334"/>
      <c r="L355" s="344"/>
      <c r="M355" s="334"/>
      <c r="N355" s="334"/>
      <c r="O355" s="345"/>
      <c r="P355" s="334"/>
      <c r="Q355" s="340"/>
      <c r="R355" s="349"/>
      <c r="S355" s="334"/>
      <c r="T355" s="334"/>
      <c r="U355" s="334"/>
      <c r="V355" s="334"/>
      <c r="W355" s="334"/>
      <c r="X355" s="334"/>
      <c r="Y355" s="334"/>
      <c r="Z355" s="334"/>
      <c r="AA355" s="334"/>
    </row>
    <row r="356" spans="1:27" ht="67.5" hidden="1">
      <c r="A356" s="334" t="s">
        <v>3542</v>
      </c>
      <c r="B356" s="408" t="s">
        <v>3321</v>
      </c>
      <c r="C356" s="409" t="s">
        <v>3582</v>
      </c>
      <c r="D356" s="409" t="s">
        <v>1005</v>
      </c>
      <c r="E356" s="348" t="s">
        <v>3593</v>
      </c>
      <c r="F356" s="334" t="s">
        <v>2961</v>
      </c>
      <c r="G356" s="409" t="s">
        <v>2957</v>
      </c>
      <c r="H356" s="409" t="s">
        <v>3324</v>
      </c>
      <c r="I356" s="419">
        <v>1</v>
      </c>
      <c r="J356" s="352" t="s">
        <v>3000</v>
      </c>
      <c r="K356" s="334"/>
      <c r="L356" s="344"/>
      <c r="M356" s="334"/>
      <c r="N356" s="334"/>
      <c r="O356" s="345"/>
      <c r="P356" s="334"/>
      <c r="Q356" s="340"/>
      <c r="R356" s="349"/>
      <c r="S356" s="334"/>
      <c r="T356" s="334"/>
      <c r="U356" s="334"/>
      <c r="V356" s="334"/>
      <c r="W356" s="334"/>
      <c r="X356" s="334"/>
      <c r="Y356" s="334"/>
      <c r="Z356" s="334"/>
      <c r="AA356" s="334"/>
    </row>
    <row r="357" spans="1:27" ht="67.5" hidden="1">
      <c r="A357" s="334" t="s">
        <v>3542</v>
      </c>
      <c r="B357" s="408" t="s">
        <v>3321</v>
      </c>
      <c r="C357" s="409" t="s">
        <v>3582</v>
      </c>
      <c r="D357" s="409" t="s">
        <v>1007</v>
      </c>
      <c r="E357" s="348" t="s">
        <v>3594</v>
      </c>
      <c r="F357" s="334" t="s">
        <v>2961</v>
      </c>
      <c r="G357" s="409" t="s">
        <v>2957</v>
      </c>
      <c r="H357" s="409" t="s">
        <v>3324</v>
      </c>
      <c r="I357" s="419">
        <v>1</v>
      </c>
      <c r="J357" s="352" t="s">
        <v>3000</v>
      </c>
      <c r="K357" s="334"/>
      <c r="L357" s="344"/>
      <c r="M357" s="334"/>
      <c r="N357" s="334"/>
      <c r="O357" s="345"/>
      <c r="P357" s="334"/>
      <c r="Q357" s="340"/>
      <c r="R357" s="349"/>
      <c r="S357" s="334"/>
      <c r="T357" s="334"/>
      <c r="U357" s="334"/>
      <c r="V357" s="334"/>
      <c r="W357" s="334"/>
      <c r="X357" s="334"/>
      <c r="Y357" s="334"/>
      <c r="Z357" s="334"/>
      <c r="AA357" s="334"/>
    </row>
    <row r="358" spans="1:27" ht="67.5" hidden="1">
      <c r="A358" s="334" t="s">
        <v>3542</v>
      </c>
      <c r="B358" s="408" t="s">
        <v>3321</v>
      </c>
      <c r="C358" s="409" t="s">
        <v>3582</v>
      </c>
      <c r="D358" s="409" t="s">
        <v>1009</v>
      </c>
      <c r="E358" s="348" t="s">
        <v>3595</v>
      </c>
      <c r="F358" s="334" t="s">
        <v>2961</v>
      </c>
      <c r="G358" s="409" t="s">
        <v>2957</v>
      </c>
      <c r="H358" s="409" t="s">
        <v>3324</v>
      </c>
      <c r="I358" s="419">
        <v>1</v>
      </c>
      <c r="J358" s="352" t="s">
        <v>3000</v>
      </c>
      <c r="K358" s="334"/>
      <c r="L358" s="344"/>
      <c r="M358" s="334"/>
      <c r="N358" s="334"/>
      <c r="O358" s="345"/>
      <c r="P358" s="334"/>
      <c r="Q358" s="340"/>
      <c r="R358" s="349"/>
      <c r="S358" s="334"/>
      <c r="T358" s="334"/>
      <c r="U358" s="334"/>
      <c r="V358" s="334"/>
      <c r="W358" s="334"/>
      <c r="X358" s="334"/>
      <c r="Y358" s="334"/>
      <c r="Z358" s="334"/>
      <c r="AA358" s="334"/>
    </row>
    <row r="359" spans="1:27" ht="67.5" hidden="1">
      <c r="A359" s="334" t="s">
        <v>3542</v>
      </c>
      <c r="B359" s="408" t="s">
        <v>3321</v>
      </c>
      <c r="C359" s="409" t="s">
        <v>3582</v>
      </c>
      <c r="D359" s="409" t="s">
        <v>1011</v>
      </c>
      <c r="E359" s="348" t="s">
        <v>3596</v>
      </c>
      <c r="F359" s="334" t="s">
        <v>2961</v>
      </c>
      <c r="G359" s="409" t="s">
        <v>2957</v>
      </c>
      <c r="H359" s="409" t="s">
        <v>3324</v>
      </c>
      <c r="I359" s="419">
        <v>1</v>
      </c>
      <c r="J359" s="352" t="s">
        <v>3000</v>
      </c>
      <c r="K359" s="334"/>
      <c r="L359" s="344"/>
      <c r="M359" s="334"/>
      <c r="N359" s="334"/>
      <c r="O359" s="345"/>
      <c r="P359" s="334"/>
      <c r="Q359" s="340"/>
      <c r="R359" s="349"/>
      <c r="S359" s="334"/>
      <c r="T359" s="334"/>
      <c r="U359" s="334"/>
      <c r="V359" s="334"/>
      <c r="W359" s="334"/>
      <c r="X359" s="334"/>
      <c r="Y359" s="334"/>
      <c r="Z359" s="334"/>
      <c r="AA359" s="334"/>
    </row>
    <row r="360" spans="1:27" ht="67.5" hidden="1">
      <c r="A360" s="334" t="s">
        <v>3542</v>
      </c>
      <c r="B360" s="408" t="s">
        <v>3321</v>
      </c>
      <c r="C360" s="409" t="s">
        <v>3582</v>
      </c>
      <c r="D360" s="409" t="s">
        <v>1013</v>
      </c>
      <c r="E360" s="348" t="s">
        <v>3597</v>
      </c>
      <c r="F360" s="334" t="s">
        <v>2961</v>
      </c>
      <c r="G360" s="409" t="s">
        <v>2957</v>
      </c>
      <c r="H360" s="409" t="s">
        <v>3324</v>
      </c>
      <c r="I360" s="419">
        <v>1</v>
      </c>
      <c r="J360" s="352" t="s">
        <v>3000</v>
      </c>
      <c r="K360" s="334"/>
      <c r="L360" s="344"/>
      <c r="M360" s="334"/>
      <c r="N360" s="334"/>
      <c r="O360" s="345"/>
      <c r="P360" s="334"/>
      <c r="Q360" s="340"/>
      <c r="R360" s="349"/>
      <c r="S360" s="334"/>
      <c r="T360" s="334"/>
      <c r="U360" s="334"/>
      <c r="V360" s="334"/>
      <c r="W360" s="334"/>
      <c r="X360" s="334"/>
      <c r="Y360" s="334"/>
      <c r="Z360" s="334"/>
      <c r="AA360" s="334"/>
    </row>
    <row r="361" spans="1:27" ht="67.5" hidden="1">
      <c r="A361" s="334" t="s">
        <v>3542</v>
      </c>
      <c r="B361" s="408" t="s">
        <v>3321</v>
      </c>
      <c r="C361" s="409" t="s">
        <v>3582</v>
      </c>
      <c r="D361" s="409" t="s">
        <v>1015</v>
      </c>
      <c r="E361" s="348" t="s">
        <v>3598</v>
      </c>
      <c r="F361" s="334" t="s">
        <v>2961</v>
      </c>
      <c r="G361" s="409" t="s">
        <v>2957</v>
      </c>
      <c r="H361" s="409" t="s">
        <v>3324</v>
      </c>
      <c r="I361" s="419">
        <v>1</v>
      </c>
      <c r="J361" s="352" t="s">
        <v>3000</v>
      </c>
      <c r="K361" s="334"/>
      <c r="L361" s="344"/>
      <c r="M361" s="334"/>
      <c r="N361" s="334"/>
      <c r="O361" s="345"/>
      <c r="P361" s="334"/>
      <c r="Q361" s="340"/>
      <c r="R361" s="349"/>
      <c r="S361" s="334"/>
      <c r="T361" s="334"/>
      <c r="U361" s="334"/>
      <c r="V361" s="334"/>
      <c r="W361" s="334"/>
      <c r="X361" s="334"/>
      <c r="Y361" s="334"/>
      <c r="Z361" s="334"/>
      <c r="AA361" s="334"/>
    </row>
    <row r="362" spans="1:27" ht="67.5" hidden="1">
      <c r="A362" s="334" t="s">
        <v>3542</v>
      </c>
      <c r="B362" s="408" t="s">
        <v>3321</v>
      </c>
      <c r="C362" s="409" t="s">
        <v>3582</v>
      </c>
      <c r="D362" s="409" t="s">
        <v>1017</v>
      </c>
      <c r="E362" s="348" t="s">
        <v>3599</v>
      </c>
      <c r="F362" s="334" t="s">
        <v>2961</v>
      </c>
      <c r="G362" s="409" t="s">
        <v>2957</v>
      </c>
      <c r="H362" s="409" t="s">
        <v>3324</v>
      </c>
      <c r="I362" s="419">
        <v>1</v>
      </c>
      <c r="J362" s="352" t="s">
        <v>3000</v>
      </c>
      <c r="K362" s="334"/>
      <c r="L362" s="344"/>
      <c r="M362" s="334"/>
      <c r="N362" s="334"/>
      <c r="O362" s="345"/>
      <c r="P362" s="334"/>
      <c r="Q362" s="340"/>
      <c r="R362" s="349"/>
      <c r="S362" s="334"/>
      <c r="T362" s="334"/>
      <c r="U362" s="334"/>
      <c r="V362" s="334"/>
      <c r="W362" s="334"/>
      <c r="X362" s="334"/>
      <c r="Y362" s="334"/>
      <c r="Z362" s="334"/>
      <c r="AA362" s="334"/>
    </row>
    <row r="363" spans="1:27" ht="67.5" hidden="1">
      <c r="A363" s="334" t="s">
        <v>3542</v>
      </c>
      <c r="B363" s="408" t="s">
        <v>3321</v>
      </c>
      <c r="C363" s="409" t="s">
        <v>3582</v>
      </c>
      <c r="D363" s="409" t="s">
        <v>1019</v>
      </c>
      <c r="E363" s="348" t="s">
        <v>3600</v>
      </c>
      <c r="F363" s="334" t="s">
        <v>2961</v>
      </c>
      <c r="G363" s="409" t="s">
        <v>2957</v>
      </c>
      <c r="H363" s="409" t="s">
        <v>3324</v>
      </c>
      <c r="I363" s="419">
        <v>1</v>
      </c>
      <c r="J363" s="352" t="s">
        <v>3000</v>
      </c>
      <c r="K363" s="334"/>
      <c r="L363" s="344"/>
      <c r="M363" s="334"/>
      <c r="N363" s="334"/>
      <c r="O363" s="345"/>
      <c r="P363" s="334"/>
      <c r="Q363" s="340"/>
      <c r="R363" s="349"/>
      <c r="S363" s="334"/>
      <c r="T363" s="334"/>
      <c r="U363" s="334"/>
      <c r="V363" s="334"/>
      <c r="W363" s="334"/>
      <c r="X363" s="334"/>
      <c r="Y363" s="334"/>
      <c r="Z363" s="334"/>
      <c r="AA363" s="334"/>
    </row>
    <row r="364" spans="1:27" ht="67.5" hidden="1">
      <c r="A364" s="334" t="s">
        <v>3542</v>
      </c>
      <c r="B364" s="408" t="s">
        <v>3321</v>
      </c>
      <c r="C364" s="409" t="s">
        <v>3582</v>
      </c>
      <c r="D364" s="409" t="s">
        <v>1021</v>
      </c>
      <c r="E364" s="348" t="s">
        <v>3601</v>
      </c>
      <c r="F364" s="334" t="s">
        <v>2961</v>
      </c>
      <c r="G364" s="409" t="s">
        <v>2957</v>
      </c>
      <c r="H364" s="409" t="s">
        <v>3324</v>
      </c>
      <c r="I364" s="419">
        <v>1</v>
      </c>
      <c r="J364" s="352" t="s">
        <v>3000</v>
      </c>
      <c r="K364" s="334"/>
      <c r="L364" s="344"/>
      <c r="M364" s="334"/>
      <c r="N364" s="334"/>
      <c r="O364" s="345"/>
      <c r="P364" s="334"/>
      <c r="Q364" s="340"/>
      <c r="R364" s="349"/>
      <c r="S364" s="334"/>
      <c r="T364" s="334"/>
      <c r="U364" s="334"/>
      <c r="V364" s="334"/>
      <c r="W364" s="334"/>
      <c r="X364" s="334"/>
      <c r="Y364" s="334"/>
      <c r="Z364" s="334"/>
      <c r="AA364" s="334"/>
    </row>
    <row r="365" spans="1:27" ht="67.5" hidden="1">
      <c r="A365" s="334" t="s">
        <v>3542</v>
      </c>
      <c r="B365" s="408" t="s">
        <v>3321</v>
      </c>
      <c r="C365" s="409" t="s">
        <v>3582</v>
      </c>
      <c r="D365" s="409" t="s">
        <v>1023</v>
      </c>
      <c r="E365" s="348" t="s">
        <v>3602</v>
      </c>
      <c r="F365" s="334" t="s">
        <v>2961</v>
      </c>
      <c r="G365" s="409" t="s">
        <v>2957</v>
      </c>
      <c r="H365" s="409" t="s">
        <v>3324</v>
      </c>
      <c r="I365" s="419">
        <v>1</v>
      </c>
      <c r="J365" s="352" t="s">
        <v>3000</v>
      </c>
      <c r="K365" s="334"/>
      <c r="L365" s="344"/>
      <c r="M365" s="334"/>
      <c r="N365" s="334"/>
      <c r="O365" s="345"/>
      <c r="P365" s="334"/>
      <c r="Q365" s="340"/>
      <c r="R365" s="349"/>
      <c r="S365" s="334"/>
      <c r="T365" s="334"/>
      <c r="U365" s="334"/>
      <c r="V365" s="334"/>
      <c r="W365" s="334"/>
      <c r="X365" s="334"/>
      <c r="Y365" s="334"/>
      <c r="Z365" s="334"/>
      <c r="AA365" s="334"/>
    </row>
    <row r="366" spans="1:27" ht="67.5" hidden="1">
      <c r="A366" s="334" t="s">
        <v>3542</v>
      </c>
      <c r="B366" s="408" t="s">
        <v>3321</v>
      </c>
      <c r="C366" s="409" t="s">
        <v>3582</v>
      </c>
      <c r="D366" s="409" t="s">
        <v>1025</v>
      </c>
      <c r="E366" s="348" t="s">
        <v>3603</v>
      </c>
      <c r="F366" s="334" t="s">
        <v>2956</v>
      </c>
      <c r="G366" s="409" t="s">
        <v>2957</v>
      </c>
      <c r="H366" s="409" t="s">
        <v>3324</v>
      </c>
      <c r="I366" s="419">
        <v>1</v>
      </c>
      <c r="J366" s="352" t="s">
        <v>3000</v>
      </c>
      <c r="K366" s="334"/>
      <c r="L366" s="344"/>
      <c r="M366" s="334"/>
      <c r="N366" s="334"/>
      <c r="O366" s="345"/>
      <c r="P366" s="334"/>
      <c r="Q366" s="340"/>
      <c r="R366" s="349"/>
      <c r="S366" s="334"/>
      <c r="T366" s="334"/>
      <c r="U366" s="334"/>
      <c r="V366" s="334"/>
      <c r="W366" s="334"/>
      <c r="X366" s="334"/>
      <c r="Y366" s="334"/>
      <c r="Z366" s="334"/>
      <c r="AA366" s="334"/>
    </row>
    <row r="367" spans="1:27" ht="67.5" hidden="1">
      <c r="A367" s="334" t="s">
        <v>3542</v>
      </c>
      <c r="B367" s="408" t="s">
        <v>3321</v>
      </c>
      <c r="C367" s="409" t="s">
        <v>3582</v>
      </c>
      <c r="D367" s="409" t="s">
        <v>1027</v>
      </c>
      <c r="E367" s="348" t="s">
        <v>3604</v>
      </c>
      <c r="F367" s="334" t="s">
        <v>2956</v>
      </c>
      <c r="G367" s="409" t="s">
        <v>2957</v>
      </c>
      <c r="H367" s="409" t="s">
        <v>3324</v>
      </c>
      <c r="I367" s="419">
        <v>1</v>
      </c>
      <c r="J367" s="352" t="s">
        <v>3000</v>
      </c>
      <c r="K367" s="334"/>
      <c r="L367" s="344"/>
      <c r="M367" s="334"/>
      <c r="N367" s="334"/>
      <c r="O367" s="345"/>
      <c r="P367" s="334"/>
      <c r="Q367" s="340"/>
      <c r="R367" s="349"/>
      <c r="S367" s="334"/>
      <c r="T367" s="334"/>
      <c r="U367" s="334"/>
      <c r="V367" s="334"/>
      <c r="W367" s="334"/>
      <c r="X367" s="334"/>
      <c r="Y367" s="334"/>
      <c r="Z367" s="334"/>
      <c r="AA367" s="334"/>
    </row>
    <row r="368" spans="1:27" ht="67.5" hidden="1">
      <c r="A368" s="334" t="s">
        <v>3542</v>
      </c>
      <c r="B368" s="408" t="s">
        <v>3321</v>
      </c>
      <c r="C368" s="409" t="s">
        <v>3582</v>
      </c>
      <c r="D368" s="409" t="s">
        <v>1029</v>
      </c>
      <c r="E368" s="348" t="s">
        <v>3605</v>
      </c>
      <c r="F368" s="334" t="s">
        <v>2956</v>
      </c>
      <c r="G368" s="409" t="s">
        <v>2957</v>
      </c>
      <c r="H368" s="409" t="s">
        <v>3324</v>
      </c>
      <c r="I368" s="419">
        <v>1</v>
      </c>
      <c r="J368" s="352" t="s">
        <v>3000</v>
      </c>
      <c r="K368" s="334"/>
      <c r="L368" s="344"/>
      <c r="M368" s="334"/>
      <c r="N368" s="334"/>
      <c r="O368" s="345"/>
      <c r="P368" s="334"/>
      <c r="Q368" s="340"/>
      <c r="R368" s="349"/>
      <c r="S368" s="334"/>
      <c r="T368" s="334"/>
      <c r="U368" s="334"/>
      <c r="V368" s="334"/>
      <c r="W368" s="334"/>
      <c r="X368" s="334"/>
      <c r="Y368" s="334"/>
      <c r="Z368" s="334"/>
      <c r="AA368" s="334"/>
    </row>
    <row r="369" spans="1:27" ht="67.5" hidden="1">
      <c r="A369" s="334" t="s">
        <v>3542</v>
      </c>
      <c r="B369" s="408" t="s">
        <v>3321</v>
      </c>
      <c r="C369" s="409" t="s">
        <v>3582</v>
      </c>
      <c r="D369" s="409" t="s">
        <v>1031</v>
      </c>
      <c r="E369" s="348" t="s">
        <v>3606</v>
      </c>
      <c r="F369" s="334" t="s">
        <v>2961</v>
      </c>
      <c r="G369" s="409" t="s">
        <v>2957</v>
      </c>
      <c r="H369" s="409" t="s">
        <v>3324</v>
      </c>
      <c r="I369" s="419">
        <v>1</v>
      </c>
      <c r="J369" s="352" t="s">
        <v>3000</v>
      </c>
      <c r="K369" s="334"/>
      <c r="L369" s="344"/>
      <c r="M369" s="334"/>
      <c r="N369" s="334"/>
      <c r="O369" s="345"/>
      <c r="P369" s="334"/>
      <c r="Q369" s="340"/>
      <c r="R369" s="349"/>
      <c r="S369" s="334"/>
      <c r="T369" s="334"/>
      <c r="U369" s="334"/>
      <c r="V369" s="334"/>
      <c r="W369" s="334"/>
      <c r="X369" s="334"/>
      <c r="Y369" s="334"/>
      <c r="Z369" s="334"/>
      <c r="AA369" s="334"/>
    </row>
    <row r="370" spans="1:27" ht="67.5" hidden="1">
      <c r="A370" s="334" t="s">
        <v>3542</v>
      </c>
      <c r="B370" s="408" t="s">
        <v>3321</v>
      </c>
      <c r="C370" s="409" t="s">
        <v>3582</v>
      </c>
      <c r="D370" s="409" t="s">
        <v>1033</v>
      </c>
      <c r="E370" s="348" t="s">
        <v>3607</v>
      </c>
      <c r="F370" s="334" t="s">
        <v>2956</v>
      </c>
      <c r="G370" s="409" t="s">
        <v>2957</v>
      </c>
      <c r="H370" s="409" t="s">
        <v>3324</v>
      </c>
      <c r="I370" s="419">
        <v>1</v>
      </c>
      <c r="J370" s="352" t="s">
        <v>3000</v>
      </c>
      <c r="K370" s="334"/>
      <c r="L370" s="344"/>
      <c r="M370" s="334"/>
      <c r="N370" s="334"/>
      <c r="O370" s="345"/>
      <c r="P370" s="334"/>
      <c r="Q370" s="340"/>
      <c r="R370" s="349"/>
      <c r="S370" s="334"/>
      <c r="T370" s="334"/>
      <c r="U370" s="334"/>
      <c r="V370" s="334"/>
      <c r="W370" s="334"/>
      <c r="X370" s="334"/>
      <c r="Y370" s="334"/>
      <c r="Z370" s="334"/>
      <c r="AA370" s="334"/>
    </row>
    <row r="371" spans="1:27" ht="67.5" hidden="1">
      <c r="A371" s="334" t="s">
        <v>3542</v>
      </c>
      <c r="B371" s="408" t="s">
        <v>3321</v>
      </c>
      <c r="C371" s="409" t="s">
        <v>3582</v>
      </c>
      <c r="D371" s="409" t="s">
        <v>1035</v>
      </c>
      <c r="E371" s="348" t="s">
        <v>3608</v>
      </c>
      <c r="F371" s="334" t="s">
        <v>2956</v>
      </c>
      <c r="G371" s="409" t="s">
        <v>2957</v>
      </c>
      <c r="H371" s="409" t="s">
        <v>3324</v>
      </c>
      <c r="I371" s="419">
        <v>1</v>
      </c>
      <c r="J371" s="352" t="s">
        <v>3000</v>
      </c>
      <c r="K371" s="334"/>
      <c r="L371" s="344"/>
      <c r="M371" s="334"/>
      <c r="N371" s="334"/>
      <c r="O371" s="345"/>
      <c r="P371" s="334"/>
      <c r="Q371" s="340"/>
      <c r="R371" s="349"/>
      <c r="S371" s="334"/>
      <c r="T371" s="334"/>
      <c r="U371" s="334"/>
      <c r="V371" s="334"/>
      <c r="W371" s="334"/>
      <c r="X371" s="334"/>
      <c r="Y371" s="334"/>
      <c r="Z371" s="334"/>
      <c r="AA371" s="334"/>
    </row>
    <row r="372" spans="1:27" ht="67.5" hidden="1">
      <c r="A372" s="334" t="s">
        <v>3542</v>
      </c>
      <c r="B372" s="408" t="s">
        <v>3321</v>
      </c>
      <c r="C372" s="409" t="s">
        <v>3582</v>
      </c>
      <c r="D372" s="409" t="s">
        <v>1037</v>
      </c>
      <c r="E372" s="348" t="s">
        <v>3609</v>
      </c>
      <c r="F372" s="334" t="s">
        <v>2993</v>
      </c>
      <c r="G372" s="409" t="s">
        <v>2957</v>
      </c>
      <c r="H372" s="409" t="s">
        <v>3324</v>
      </c>
      <c r="I372" s="419">
        <v>1</v>
      </c>
      <c r="J372" s="352" t="s">
        <v>3000</v>
      </c>
      <c r="K372" s="334"/>
      <c r="L372" s="344"/>
      <c r="M372" s="334"/>
      <c r="N372" s="334"/>
      <c r="O372" s="345"/>
      <c r="P372" s="334"/>
      <c r="Q372" s="340"/>
      <c r="R372" s="349"/>
      <c r="S372" s="334"/>
      <c r="T372" s="334"/>
      <c r="U372" s="334"/>
      <c r="V372" s="334"/>
      <c r="W372" s="334"/>
      <c r="X372" s="334"/>
      <c r="Y372" s="334"/>
      <c r="Z372" s="334"/>
      <c r="AA372" s="334"/>
    </row>
    <row r="373" spans="1:27" ht="67.5" hidden="1">
      <c r="A373" s="334" t="s">
        <v>3542</v>
      </c>
      <c r="B373" s="408" t="s">
        <v>3321</v>
      </c>
      <c r="C373" s="409" t="s">
        <v>3582</v>
      </c>
      <c r="D373" s="409" t="s">
        <v>1039</v>
      </c>
      <c r="E373" s="348" t="s">
        <v>3610</v>
      </c>
      <c r="F373" s="334" t="s">
        <v>2993</v>
      </c>
      <c r="G373" s="409" t="s">
        <v>2957</v>
      </c>
      <c r="H373" s="409" t="s">
        <v>3324</v>
      </c>
      <c r="I373" s="419">
        <v>1</v>
      </c>
      <c r="J373" s="352" t="s">
        <v>3000</v>
      </c>
      <c r="K373" s="334"/>
      <c r="L373" s="344"/>
      <c r="M373" s="334"/>
      <c r="N373" s="334"/>
      <c r="O373" s="345"/>
      <c r="P373" s="334"/>
      <c r="Q373" s="340"/>
      <c r="R373" s="349"/>
      <c r="S373" s="334"/>
      <c r="T373" s="334"/>
      <c r="U373" s="334"/>
      <c r="V373" s="334"/>
      <c r="W373" s="334"/>
      <c r="X373" s="334"/>
      <c r="Y373" s="334"/>
      <c r="Z373" s="334"/>
      <c r="AA373" s="334"/>
    </row>
    <row r="374" spans="1:27" ht="67.5" hidden="1">
      <c r="A374" s="334" t="s">
        <v>3542</v>
      </c>
      <c r="B374" s="408" t="s">
        <v>3321</v>
      </c>
      <c r="C374" s="409" t="s">
        <v>3582</v>
      </c>
      <c r="D374" s="409" t="s">
        <v>1041</v>
      </c>
      <c r="E374" s="348" t="s">
        <v>3611</v>
      </c>
      <c r="F374" s="334" t="s">
        <v>2993</v>
      </c>
      <c r="G374" s="409" t="s">
        <v>2957</v>
      </c>
      <c r="H374" s="409" t="s">
        <v>3324</v>
      </c>
      <c r="I374" s="419">
        <v>1</v>
      </c>
      <c r="J374" s="352" t="s">
        <v>3000</v>
      </c>
      <c r="K374" s="334"/>
      <c r="L374" s="344"/>
      <c r="M374" s="334"/>
      <c r="N374" s="334"/>
      <c r="O374" s="345"/>
      <c r="P374" s="334"/>
      <c r="Q374" s="340"/>
      <c r="R374" s="349"/>
      <c r="S374" s="334"/>
      <c r="T374" s="334"/>
      <c r="U374" s="334"/>
      <c r="V374" s="334"/>
      <c r="W374" s="334"/>
      <c r="X374" s="334"/>
      <c r="Y374" s="334"/>
      <c r="Z374" s="334"/>
      <c r="AA374" s="334"/>
    </row>
    <row r="375" spans="1:27" ht="67.5" hidden="1">
      <c r="A375" s="334" t="s">
        <v>3542</v>
      </c>
      <c r="B375" s="408" t="s">
        <v>3321</v>
      </c>
      <c r="C375" s="409" t="s">
        <v>3582</v>
      </c>
      <c r="D375" s="409" t="s">
        <v>1043</v>
      </c>
      <c r="E375" s="348" t="s">
        <v>3612</v>
      </c>
      <c r="F375" s="334" t="s">
        <v>2993</v>
      </c>
      <c r="G375" s="409" t="s">
        <v>2957</v>
      </c>
      <c r="H375" s="409" t="s">
        <v>3324</v>
      </c>
      <c r="I375" s="419">
        <v>1</v>
      </c>
      <c r="J375" s="352" t="s">
        <v>3000</v>
      </c>
      <c r="K375" s="334"/>
      <c r="L375" s="344"/>
      <c r="M375" s="334"/>
      <c r="N375" s="334"/>
      <c r="O375" s="345"/>
      <c r="P375" s="334"/>
      <c r="Q375" s="340"/>
      <c r="R375" s="349"/>
      <c r="S375" s="334"/>
      <c r="T375" s="334"/>
      <c r="U375" s="334"/>
      <c r="V375" s="334"/>
      <c r="W375" s="334"/>
      <c r="X375" s="334"/>
      <c r="Y375" s="334"/>
      <c r="Z375" s="334"/>
      <c r="AA375" s="334"/>
    </row>
    <row r="376" spans="1:27" ht="67.5" hidden="1">
      <c r="A376" s="334" t="s">
        <v>3542</v>
      </c>
      <c r="B376" s="408" t="s">
        <v>3321</v>
      </c>
      <c r="C376" s="409" t="s">
        <v>3613</v>
      </c>
      <c r="D376" s="409" t="s">
        <v>1046</v>
      </c>
      <c r="E376" s="409" t="s">
        <v>3614</v>
      </c>
      <c r="F376" s="442"/>
      <c r="G376" s="485" t="s">
        <v>2957</v>
      </c>
      <c r="H376" s="442"/>
      <c r="I376" s="442"/>
      <c r="J376" s="442"/>
      <c r="K376" s="442"/>
      <c r="L376" s="444"/>
      <c r="M376" s="442"/>
      <c r="N376" s="442"/>
      <c r="O376" s="445"/>
      <c r="P376" s="442"/>
      <c r="Q376" s="340"/>
      <c r="R376" s="446"/>
      <c r="S376" s="442"/>
      <c r="T376" s="442"/>
      <c r="U376" s="442"/>
      <c r="V376" s="442"/>
      <c r="W376" s="442"/>
      <c r="X376" s="442"/>
      <c r="Y376" s="442"/>
      <c r="Z376" s="442"/>
      <c r="AA376" s="334"/>
    </row>
    <row r="377" spans="1:27" ht="67.5" hidden="1">
      <c r="A377" s="334" t="s">
        <v>3542</v>
      </c>
      <c r="B377" s="408" t="s">
        <v>3321</v>
      </c>
      <c r="C377" s="409" t="s">
        <v>3613</v>
      </c>
      <c r="D377" s="409" t="s">
        <v>1048</v>
      </c>
      <c r="E377" s="348" t="s">
        <v>3615</v>
      </c>
      <c r="F377" s="334" t="s">
        <v>3371</v>
      </c>
      <c r="G377" s="409" t="s">
        <v>2957</v>
      </c>
      <c r="H377" s="409" t="s">
        <v>3420</v>
      </c>
      <c r="I377" s="419">
        <v>1</v>
      </c>
      <c r="J377" s="352" t="s">
        <v>3000</v>
      </c>
      <c r="K377" s="334"/>
      <c r="L377" s="344"/>
      <c r="M377" s="334"/>
      <c r="N377" s="334"/>
      <c r="O377" s="345"/>
      <c r="P377" s="334"/>
      <c r="Q377" s="340"/>
      <c r="R377" s="349"/>
      <c r="S377" s="334"/>
      <c r="T377" s="334"/>
      <c r="U377" s="334"/>
      <c r="V377" s="334"/>
      <c r="W377" s="334"/>
      <c r="X377" s="334"/>
      <c r="Y377" s="334"/>
      <c r="Z377" s="334"/>
      <c r="AA377" s="334"/>
    </row>
    <row r="378" spans="1:27" ht="67.5" hidden="1">
      <c r="A378" s="334" t="s">
        <v>3542</v>
      </c>
      <c r="B378" s="408" t="s">
        <v>3321</v>
      </c>
      <c r="C378" s="409" t="s">
        <v>3613</v>
      </c>
      <c r="D378" s="409" t="s">
        <v>1050</v>
      </c>
      <c r="E378" s="348" t="s">
        <v>3616</v>
      </c>
      <c r="F378" s="334" t="s">
        <v>2966</v>
      </c>
      <c r="G378" s="409" t="s">
        <v>2957</v>
      </c>
      <c r="H378" s="409" t="s">
        <v>3217</v>
      </c>
      <c r="I378" s="419">
        <v>0.5</v>
      </c>
      <c r="J378" s="352" t="s">
        <v>3000</v>
      </c>
      <c r="K378" s="334"/>
      <c r="L378" s="344"/>
      <c r="M378" s="334"/>
      <c r="N378" s="334"/>
      <c r="O378" s="345"/>
      <c r="P378" s="334"/>
      <c r="Q378" s="340"/>
      <c r="R378" s="349"/>
      <c r="S378" s="334"/>
      <c r="T378" s="334"/>
      <c r="U378" s="334"/>
      <c r="V378" s="334"/>
      <c r="W378" s="334"/>
      <c r="X378" s="334"/>
      <c r="Y378" s="334"/>
      <c r="Z378" s="334"/>
      <c r="AA378" s="334"/>
    </row>
    <row r="379" spans="1:27" ht="94.5" hidden="1">
      <c r="A379" s="334" t="s">
        <v>3542</v>
      </c>
      <c r="B379" s="408" t="s">
        <v>3321</v>
      </c>
      <c r="C379" s="409" t="s">
        <v>3617</v>
      </c>
      <c r="D379" s="409" t="s">
        <v>1053</v>
      </c>
      <c r="E379" s="409" t="s">
        <v>3618</v>
      </c>
      <c r="F379" s="334" t="s">
        <v>2956</v>
      </c>
      <c r="G379" s="409" t="s">
        <v>2954</v>
      </c>
      <c r="H379" s="409" t="s">
        <v>3346</v>
      </c>
      <c r="I379" s="419" t="s">
        <v>3619</v>
      </c>
      <c r="J379" s="352" t="s">
        <v>3000</v>
      </c>
      <c r="K379" s="334"/>
      <c r="L379" s="344"/>
      <c r="M379" s="334"/>
      <c r="N379" s="334"/>
      <c r="O379" s="345"/>
      <c r="P379" s="334"/>
      <c r="Q379" s="340"/>
      <c r="R379" s="349"/>
      <c r="S379" s="334"/>
      <c r="T379" s="334"/>
      <c r="U379" s="334"/>
      <c r="V379" s="334"/>
      <c r="W379" s="334"/>
      <c r="X379" s="334"/>
      <c r="Y379" s="334"/>
      <c r="Z379" s="334"/>
      <c r="AA379" s="334"/>
    </row>
    <row r="380" spans="1:27" ht="94.5" hidden="1">
      <c r="A380" s="334" t="s">
        <v>3542</v>
      </c>
      <c r="B380" s="408" t="s">
        <v>3321</v>
      </c>
      <c r="C380" s="409" t="s">
        <v>3617</v>
      </c>
      <c r="D380" s="409" t="s">
        <v>1055</v>
      </c>
      <c r="E380" s="409" t="s">
        <v>3620</v>
      </c>
      <c r="F380" s="334" t="s">
        <v>2993</v>
      </c>
      <c r="G380" s="409" t="s">
        <v>2957</v>
      </c>
      <c r="H380" s="409" t="s">
        <v>3621</v>
      </c>
      <c r="I380" s="409" t="s">
        <v>2999</v>
      </c>
      <c r="J380" s="352" t="s">
        <v>3000</v>
      </c>
      <c r="K380" s="334"/>
      <c r="L380" s="344"/>
      <c r="M380" s="334"/>
      <c r="N380" s="334"/>
      <c r="O380" s="345"/>
      <c r="P380" s="334"/>
      <c r="Q380" s="340"/>
      <c r="R380" s="349"/>
      <c r="S380" s="334"/>
      <c r="T380" s="334"/>
      <c r="U380" s="334"/>
      <c r="V380" s="334"/>
      <c r="W380" s="334"/>
      <c r="X380" s="334"/>
      <c r="Y380" s="334"/>
      <c r="Z380" s="334"/>
      <c r="AA380" s="334"/>
    </row>
    <row r="381" spans="1:27" ht="94.5" hidden="1" customHeight="1">
      <c r="A381" s="334" t="s">
        <v>3542</v>
      </c>
      <c r="B381" s="408" t="s">
        <v>3321</v>
      </c>
      <c r="C381" s="409" t="s">
        <v>3622</v>
      </c>
      <c r="D381" s="409" t="s">
        <v>1059</v>
      </c>
      <c r="E381" s="409" t="s">
        <v>3623</v>
      </c>
      <c r="F381" s="334" t="s">
        <v>2964</v>
      </c>
      <c r="G381" s="409" t="s">
        <v>2957</v>
      </c>
      <c r="H381" s="409" t="s">
        <v>3624</v>
      </c>
      <c r="I381" s="419">
        <v>0.5</v>
      </c>
      <c r="J381" s="352" t="s">
        <v>3000</v>
      </c>
      <c r="K381" s="334"/>
      <c r="L381" s="344"/>
      <c r="M381" s="334"/>
      <c r="N381" s="334"/>
      <c r="O381" s="345"/>
      <c r="P381" s="334"/>
      <c r="Q381" s="340"/>
      <c r="R381" s="349"/>
      <c r="S381" s="334"/>
      <c r="T381" s="334"/>
      <c r="U381" s="334"/>
      <c r="V381" s="334"/>
      <c r="W381" s="334"/>
      <c r="X381" s="334"/>
      <c r="Y381" s="334"/>
      <c r="Z381" s="334"/>
      <c r="AA381" s="334"/>
    </row>
    <row r="382" spans="1:27" hidden="1">
      <c r="A382" s="488" t="s">
        <v>3625</v>
      </c>
      <c r="B382" s="489"/>
      <c r="C382" s="490"/>
      <c r="D382" s="490"/>
      <c r="E382" s="490"/>
      <c r="F382" s="490"/>
      <c r="G382" s="490"/>
      <c r="H382" s="490"/>
      <c r="I382" s="491"/>
      <c r="J382" s="492"/>
      <c r="K382" s="492"/>
      <c r="L382" s="492"/>
      <c r="M382" s="492"/>
      <c r="N382" s="492"/>
      <c r="O382" s="492"/>
      <c r="P382" s="493"/>
      <c r="Q382" s="494"/>
      <c r="R382" s="495"/>
      <c r="S382" s="492"/>
      <c r="T382" s="492"/>
      <c r="U382" s="492"/>
      <c r="V382" s="492"/>
      <c r="W382" s="492"/>
      <c r="X382" s="492"/>
      <c r="Y382" s="492"/>
      <c r="Z382" s="492"/>
      <c r="AA382" s="492"/>
    </row>
    <row r="383" spans="1:27" ht="247.5" hidden="1" customHeight="1">
      <c r="A383" s="334" t="s">
        <v>3626</v>
      </c>
      <c r="B383" s="408" t="s">
        <v>2951</v>
      </c>
      <c r="C383" s="409" t="s">
        <v>3627</v>
      </c>
      <c r="D383" s="409" t="s">
        <v>1064</v>
      </c>
      <c r="E383" s="409" t="s">
        <v>3628</v>
      </c>
      <c r="F383" s="334" t="s">
        <v>3547</v>
      </c>
      <c r="G383" s="409" t="s">
        <v>2957</v>
      </c>
      <c r="H383" s="409" t="s">
        <v>3629</v>
      </c>
      <c r="I383" s="409" t="s">
        <v>3630</v>
      </c>
      <c r="J383" s="352" t="s">
        <v>3000</v>
      </c>
      <c r="K383" s="334"/>
      <c r="L383" s="344"/>
      <c r="M383" s="334"/>
      <c r="N383" s="334"/>
      <c r="O383" s="345"/>
      <c r="P383" s="334"/>
      <c r="Q383" s="340"/>
      <c r="R383" s="349"/>
      <c r="S383" s="334"/>
      <c r="T383" s="334"/>
      <c r="U383" s="334"/>
      <c r="V383" s="334"/>
      <c r="W383" s="334"/>
      <c r="X383" s="334"/>
      <c r="Y383" s="334"/>
      <c r="Z383" s="334"/>
      <c r="AA383" s="334"/>
    </row>
    <row r="384" spans="1:27" ht="75.95" hidden="1" customHeight="1">
      <c r="A384" s="334" t="s">
        <v>3626</v>
      </c>
      <c r="B384" s="408" t="s">
        <v>2951</v>
      </c>
      <c r="C384" s="409" t="s">
        <v>3631</v>
      </c>
      <c r="D384" s="409" t="s">
        <v>1069</v>
      </c>
      <c r="E384" s="409" t="s">
        <v>3632</v>
      </c>
      <c r="F384" s="334" t="s">
        <v>3547</v>
      </c>
      <c r="G384" s="409" t="s">
        <v>2957</v>
      </c>
      <c r="H384" s="409" t="s">
        <v>3633</v>
      </c>
      <c r="I384" s="409" t="s">
        <v>3634</v>
      </c>
      <c r="J384" s="352" t="s">
        <v>3000</v>
      </c>
      <c r="K384" s="334"/>
      <c r="L384" s="344"/>
      <c r="M384" s="334"/>
      <c r="N384" s="334"/>
      <c r="O384" s="345"/>
      <c r="P384" s="334"/>
      <c r="Q384" s="340"/>
      <c r="R384" s="349"/>
      <c r="S384" s="334"/>
      <c r="T384" s="334"/>
      <c r="U384" s="334"/>
      <c r="V384" s="334"/>
      <c r="W384" s="334"/>
      <c r="X384" s="334"/>
      <c r="Y384" s="334"/>
      <c r="Z384" s="334"/>
      <c r="AA384" s="334"/>
    </row>
    <row r="385" spans="1:51" ht="80.45" hidden="1" customHeight="1">
      <c r="A385" s="334" t="s">
        <v>3626</v>
      </c>
      <c r="B385" s="408" t="s">
        <v>2951</v>
      </c>
      <c r="C385" s="409" t="s">
        <v>3631</v>
      </c>
      <c r="D385" s="409" t="s">
        <v>1073</v>
      </c>
      <c r="E385" s="409" t="s">
        <v>3635</v>
      </c>
      <c r="F385" s="334" t="s">
        <v>3547</v>
      </c>
      <c r="G385" s="409" t="s">
        <v>2957</v>
      </c>
      <c r="H385" s="409" t="s">
        <v>3458</v>
      </c>
      <c r="I385" s="419">
        <v>1</v>
      </c>
      <c r="J385" s="352" t="s">
        <v>3000</v>
      </c>
      <c r="K385" s="334"/>
      <c r="L385" s="344"/>
      <c r="M385" s="334"/>
      <c r="N385" s="334"/>
      <c r="O385" s="345"/>
      <c r="P385" s="334"/>
      <c r="Q385" s="340"/>
      <c r="R385" s="349"/>
      <c r="S385" s="334"/>
      <c r="T385" s="334"/>
      <c r="U385" s="334"/>
      <c r="V385" s="334"/>
      <c r="W385" s="334"/>
      <c r="X385" s="334"/>
      <c r="Y385" s="334"/>
      <c r="Z385" s="334"/>
      <c r="AA385" s="334"/>
    </row>
    <row r="386" spans="1:51" s="496" customFormat="1" ht="38.25" hidden="1" customHeight="1">
      <c r="A386" s="334" t="s">
        <v>3626</v>
      </c>
      <c r="B386" s="408" t="s">
        <v>2951</v>
      </c>
      <c r="C386" s="485" t="s">
        <v>1075</v>
      </c>
      <c r="D386" s="442" t="s">
        <v>582</v>
      </c>
      <c r="E386" s="485" t="s">
        <v>582</v>
      </c>
      <c r="F386" s="485" t="s">
        <v>582</v>
      </c>
      <c r="G386" s="442" t="s">
        <v>582</v>
      </c>
      <c r="H386" s="442" t="s">
        <v>582</v>
      </c>
      <c r="I386" s="442" t="s">
        <v>582</v>
      </c>
      <c r="J386" s="442" t="s">
        <v>582</v>
      </c>
      <c r="K386" s="442" t="s">
        <v>582</v>
      </c>
      <c r="L386" s="442" t="s">
        <v>582</v>
      </c>
      <c r="M386" s="442" t="s">
        <v>582</v>
      </c>
      <c r="N386" s="442" t="s">
        <v>582</v>
      </c>
      <c r="O386" s="442" t="s">
        <v>582</v>
      </c>
      <c r="P386" s="442" t="s">
        <v>582</v>
      </c>
      <c r="Q386" s="391"/>
      <c r="R386" s="446" t="s">
        <v>582</v>
      </c>
      <c r="S386" s="442" t="s">
        <v>582</v>
      </c>
      <c r="T386" s="442" t="s">
        <v>582</v>
      </c>
      <c r="U386" s="442"/>
      <c r="V386" s="442" t="s">
        <v>582</v>
      </c>
      <c r="W386" s="442" t="s">
        <v>582</v>
      </c>
      <c r="X386" s="442" t="s">
        <v>582</v>
      </c>
      <c r="Y386" s="442" t="s">
        <v>582</v>
      </c>
      <c r="Z386" s="442" t="s">
        <v>582</v>
      </c>
      <c r="AA386" s="442" t="s">
        <v>582</v>
      </c>
      <c r="AB386" s="327"/>
      <c r="AC386" s="327"/>
      <c r="AD386" s="327"/>
      <c r="AE386" s="327"/>
      <c r="AF386" s="327"/>
      <c r="AG386" s="327"/>
      <c r="AH386" s="327"/>
      <c r="AI386" s="327"/>
      <c r="AJ386" s="327"/>
      <c r="AK386" s="327"/>
      <c r="AL386" s="327"/>
      <c r="AM386" s="327"/>
      <c r="AN386" s="327"/>
      <c r="AO386" s="327"/>
      <c r="AP386" s="327"/>
      <c r="AQ386" s="327"/>
      <c r="AR386" s="327"/>
      <c r="AS386" s="327"/>
      <c r="AT386" s="327"/>
      <c r="AU386" s="327"/>
      <c r="AV386" s="327"/>
      <c r="AW386" s="327"/>
      <c r="AX386" s="327"/>
      <c r="AY386" s="327"/>
    </row>
    <row r="387" spans="1:51" s="496" customFormat="1" ht="100.5" hidden="1" customHeight="1">
      <c r="A387" s="334" t="s">
        <v>3626</v>
      </c>
      <c r="B387" s="408" t="s">
        <v>195</v>
      </c>
      <c r="C387" s="409" t="s">
        <v>3636</v>
      </c>
      <c r="D387" s="409" t="s">
        <v>1077</v>
      </c>
      <c r="E387" s="409" t="s">
        <v>3637</v>
      </c>
      <c r="F387" s="442"/>
      <c r="G387" s="485" t="s">
        <v>2957</v>
      </c>
      <c r="H387" s="485"/>
      <c r="I387" s="487"/>
      <c r="J387" s="442"/>
      <c r="K387" s="442"/>
      <c r="L387" s="444"/>
      <c r="M387" s="442"/>
      <c r="N387" s="442"/>
      <c r="O387" s="445"/>
      <c r="P387" s="442"/>
      <c r="Q387" s="340"/>
      <c r="R387" s="446"/>
      <c r="S387" s="442"/>
      <c r="T387" s="442"/>
      <c r="U387" s="442"/>
      <c r="V387" s="442"/>
      <c r="W387" s="442"/>
      <c r="X387" s="442"/>
      <c r="Y387" s="442"/>
      <c r="Z387" s="442"/>
      <c r="AA387" s="442"/>
      <c r="AB387" s="327"/>
      <c r="AC387" s="327"/>
      <c r="AD387" s="327"/>
      <c r="AE387" s="327"/>
      <c r="AF387" s="327"/>
      <c r="AG387" s="327"/>
      <c r="AH387" s="327"/>
      <c r="AI387" s="327"/>
      <c r="AJ387" s="327"/>
      <c r="AK387" s="327"/>
      <c r="AL387" s="327"/>
      <c r="AM387" s="327"/>
      <c r="AN387" s="327"/>
      <c r="AO387" s="327"/>
      <c r="AP387" s="327"/>
      <c r="AQ387" s="327"/>
      <c r="AR387" s="327"/>
      <c r="AS387" s="327"/>
      <c r="AT387" s="327"/>
      <c r="AU387" s="327"/>
      <c r="AV387" s="327"/>
      <c r="AW387" s="327"/>
      <c r="AX387" s="327"/>
      <c r="AY387" s="327"/>
    </row>
    <row r="388" spans="1:51" ht="62.45" hidden="1" customHeight="1">
      <c r="A388" s="334" t="s">
        <v>3626</v>
      </c>
      <c r="B388" s="408" t="s">
        <v>195</v>
      </c>
      <c r="C388" s="409" t="s">
        <v>3636</v>
      </c>
      <c r="D388" s="409" t="s">
        <v>1079</v>
      </c>
      <c r="E388" s="348" t="s">
        <v>3638</v>
      </c>
      <c r="F388" s="334" t="s">
        <v>2966</v>
      </c>
      <c r="G388" s="409" t="s">
        <v>2957</v>
      </c>
      <c r="H388" s="409" t="s">
        <v>3639</v>
      </c>
      <c r="I388" s="419">
        <v>1</v>
      </c>
      <c r="J388" s="352" t="s">
        <v>3000</v>
      </c>
      <c r="K388" s="334"/>
      <c r="L388" s="344"/>
      <c r="M388" s="334"/>
      <c r="N388" s="334"/>
      <c r="O388" s="345"/>
      <c r="P388" s="334"/>
      <c r="Q388" s="340"/>
      <c r="R388" s="349"/>
      <c r="S388" s="334"/>
      <c r="T388" s="334"/>
      <c r="U388" s="334"/>
      <c r="V388" s="334"/>
      <c r="W388" s="334"/>
      <c r="X388" s="334"/>
      <c r="Y388" s="334"/>
      <c r="Z388" s="334"/>
      <c r="AA388" s="334"/>
    </row>
    <row r="389" spans="1:51" ht="47.25" hidden="1">
      <c r="A389" s="334" t="s">
        <v>3626</v>
      </c>
      <c r="B389" s="408" t="s">
        <v>195</v>
      </c>
      <c r="C389" s="409" t="s">
        <v>3636</v>
      </c>
      <c r="D389" s="409" t="s">
        <v>1082</v>
      </c>
      <c r="E389" s="348" t="s">
        <v>3640</v>
      </c>
      <c r="F389" s="334" t="s">
        <v>3547</v>
      </c>
      <c r="G389" s="409" t="s">
        <v>2957</v>
      </c>
      <c r="H389" s="409" t="s">
        <v>3641</v>
      </c>
      <c r="I389" s="419">
        <v>1</v>
      </c>
      <c r="J389" s="352" t="s">
        <v>3000</v>
      </c>
      <c r="K389" s="334"/>
      <c r="L389" s="344"/>
      <c r="M389" s="334"/>
      <c r="N389" s="334"/>
      <c r="O389" s="345"/>
      <c r="P389" s="334"/>
      <c r="Q389" s="340"/>
      <c r="R389" s="349"/>
      <c r="S389" s="334"/>
      <c r="T389" s="334"/>
      <c r="U389" s="334"/>
      <c r="V389" s="334"/>
      <c r="W389" s="334"/>
      <c r="X389" s="334"/>
      <c r="Y389" s="334"/>
      <c r="Z389" s="334"/>
      <c r="AA389" s="334"/>
    </row>
    <row r="390" spans="1:51" ht="69" hidden="1" customHeight="1">
      <c r="A390" s="334" t="s">
        <v>3626</v>
      </c>
      <c r="B390" s="408" t="s">
        <v>195</v>
      </c>
      <c r="C390" s="409" t="s">
        <v>3636</v>
      </c>
      <c r="D390" s="409" t="s">
        <v>1085</v>
      </c>
      <c r="E390" s="409" t="s">
        <v>3642</v>
      </c>
      <c r="F390" s="442"/>
      <c r="G390" s="485" t="s">
        <v>2957</v>
      </c>
      <c r="H390" s="485"/>
      <c r="I390" s="485"/>
      <c r="J390" s="442"/>
      <c r="K390" s="442"/>
      <c r="L390" s="444"/>
      <c r="M390" s="442"/>
      <c r="N390" s="442"/>
      <c r="O390" s="445"/>
      <c r="P390" s="442"/>
      <c r="Q390" s="340"/>
      <c r="R390" s="446"/>
      <c r="S390" s="442"/>
      <c r="T390" s="442"/>
      <c r="U390" s="442"/>
      <c r="V390" s="442"/>
      <c r="W390" s="442"/>
      <c r="X390" s="442"/>
      <c r="Y390" s="442"/>
      <c r="Z390" s="442"/>
      <c r="AA390" s="334"/>
    </row>
    <row r="391" spans="1:51" ht="102" hidden="1" customHeight="1">
      <c r="A391" s="334" t="s">
        <v>3626</v>
      </c>
      <c r="B391" s="408" t="s">
        <v>195</v>
      </c>
      <c r="C391" s="409" t="s">
        <v>3636</v>
      </c>
      <c r="D391" s="409" t="s">
        <v>1087</v>
      </c>
      <c r="E391" s="348" t="s">
        <v>3643</v>
      </c>
      <c r="F391" s="334" t="s">
        <v>2993</v>
      </c>
      <c r="G391" s="409" t="s">
        <v>2957</v>
      </c>
      <c r="H391" s="409" t="s">
        <v>3644</v>
      </c>
      <c r="I391" s="409" t="s">
        <v>3645</v>
      </c>
      <c r="J391" s="334" t="s">
        <v>3000</v>
      </c>
      <c r="K391" s="334"/>
      <c r="L391" s="344"/>
      <c r="M391" s="334"/>
      <c r="N391" s="334"/>
      <c r="O391" s="345"/>
      <c r="P391" s="334"/>
      <c r="Q391" s="340"/>
      <c r="R391" s="349"/>
      <c r="S391" s="334"/>
      <c r="T391" s="334"/>
      <c r="U391" s="334"/>
      <c r="V391" s="334"/>
      <c r="W391" s="334"/>
      <c r="X391" s="334"/>
      <c r="Y391" s="334"/>
      <c r="Z391" s="334"/>
      <c r="AA391" s="334"/>
    </row>
    <row r="392" spans="1:51" ht="63" hidden="1">
      <c r="A392" s="334" t="s">
        <v>3626</v>
      </c>
      <c r="B392" s="408" t="s">
        <v>195</v>
      </c>
      <c r="C392" s="409" t="s">
        <v>3636</v>
      </c>
      <c r="D392" s="409" t="s">
        <v>1091</v>
      </c>
      <c r="E392" s="348" t="s">
        <v>3646</v>
      </c>
      <c r="F392" s="334" t="s">
        <v>3547</v>
      </c>
      <c r="G392" s="409" t="s">
        <v>2957</v>
      </c>
      <c r="H392" s="409" t="s">
        <v>3644</v>
      </c>
      <c r="I392" s="409" t="s">
        <v>3645</v>
      </c>
      <c r="J392" s="334" t="s">
        <v>3000</v>
      </c>
      <c r="K392" s="334"/>
      <c r="L392" s="344"/>
      <c r="M392" s="334"/>
      <c r="N392" s="334"/>
      <c r="O392" s="345"/>
      <c r="P392" s="334"/>
      <c r="Q392" s="340"/>
      <c r="R392" s="349"/>
      <c r="S392" s="334"/>
      <c r="T392" s="334"/>
      <c r="U392" s="334"/>
      <c r="V392" s="334"/>
      <c r="W392" s="334"/>
      <c r="X392" s="334"/>
      <c r="Y392" s="334"/>
      <c r="Z392" s="334"/>
      <c r="AA392" s="334"/>
    </row>
    <row r="393" spans="1:51" ht="58.5" hidden="1" customHeight="1">
      <c r="A393" s="334" t="s">
        <v>3626</v>
      </c>
      <c r="B393" s="408" t="s">
        <v>195</v>
      </c>
      <c r="C393" s="409" t="s">
        <v>3636</v>
      </c>
      <c r="D393" s="409" t="s">
        <v>1093</v>
      </c>
      <c r="E393" s="348" t="s">
        <v>3647</v>
      </c>
      <c r="F393" s="334" t="s">
        <v>3009</v>
      </c>
      <c r="G393" s="409" t="s">
        <v>2957</v>
      </c>
      <c r="H393" s="409" t="s">
        <v>3648</v>
      </c>
      <c r="I393" s="409" t="s">
        <v>3649</v>
      </c>
      <c r="J393" s="334" t="s">
        <v>3000</v>
      </c>
      <c r="K393" s="334"/>
      <c r="L393" s="344"/>
      <c r="M393" s="334"/>
      <c r="N393" s="334"/>
      <c r="O393" s="345"/>
      <c r="P393" s="334"/>
      <c r="Q393" s="340"/>
      <c r="R393" s="349"/>
      <c r="S393" s="334"/>
      <c r="T393" s="334"/>
      <c r="U393" s="334"/>
      <c r="V393" s="334"/>
      <c r="W393" s="334"/>
      <c r="X393" s="334"/>
      <c r="Y393" s="334"/>
      <c r="Z393" s="334"/>
      <c r="AA393" s="334"/>
    </row>
    <row r="394" spans="1:51" ht="63" hidden="1">
      <c r="A394" s="334" t="s">
        <v>3626</v>
      </c>
      <c r="B394" s="408" t="s">
        <v>195</v>
      </c>
      <c r="C394" s="409" t="s">
        <v>3636</v>
      </c>
      <c r="D394" s="409" t="s">
        <v>1097</v>
      </c>
      <c r="E394" s="348" t="s">
        <v>3650</v>
      </c>
      <c r="F394" s="334" t="s">
        <v>2966</v>
      </c>
      <c r="G394" s="409" t="s">
        <v>2957</v>
      </c>
      <c r="H394" s="409" t="s">
        <v>3651</v>
      </c>
      <c r="I394" s="419">
        <v>1</v>
      </c>
      <c r="J394" s="334" t="s">
        <v>3000</v>
      </c>
      <c r="K394" s="334"/>
      <c r="L394" s="344"/>
      <c r="M394" s="334"/>
      <c r="N394" s="334"/>
      <c r="O394" s="345"/>
      <c r="P394" s="334"/>
      <c r="Q394" s="340"/>
      <c r="R394" s="349"/>
      <c r="S394" s="334"/>
      <c r="T394" s="334"/>
      <c r="U394" s="334"/>
      <c r="V394" s="334"/>
      <c r="W394" s="334"/>
      <c r="X394" s="334"/>
      <c r="Y394" s="334"/>
      <c r="Z394" s="334"/>
      <c r="AA394" s="334"/>
    </row>
    <row r="395" spans="1:51" ht="47.25" hidden="1">
      <c r="A395" s="334" t="s">
        <v>3626</v>
      </c>
      <c r="B395" s="408" t="s">
        <v>195</v>
      </c>
      <c r="C395" s="409" t="s">
        <v>3636</v>
      </c>
      <c r="D395" s="409" t="s">
        <v>1100</v>
      </c>
      <c r="E395" s="409" t="s">
        <v>3652</v>
      </c>
      <c r="F395" s="334" t="s">
        <v>2993</v>
      </c>
      <c r="G395" s="409" t="s">
        <v>2954</v>
      </c>
      <c r="H395" s="409" t="s">
        <v>3653</v>
      </c>
      <c r="I395" s="419">
        <v>0.7</v>
      </c>
      <c r="J395" s="334" t="s">
        <v>3000</v>
      </c>
      <c r="K395" s="334"/>
      <c r="L395" s="344"/>
      <c r="M395" s="334"/>
      <c r="N395" s="334"/>
      <c r="O395" s="345"/>
      <c r="P395" s="334"/>
      <c r="Q395" s="340"/>
      <c r="R395" s="349"/>
      <c r="S395" s="334"/>
      <c r="T395" s="334"/>
      <c r="U395" s="334"/>
      <c r="V395" s="334"/>
      <c r="W395" s="334"/>
      <c r="X395" s="334"/>
      <c r="Y395" s="334"/>
      <c r="Z395" s="334"/>
      <c r="AA395" s="334"/>
    </row>
    <row r="396" spans="1:51" ht="84" hidden="1" customHeight="1">
      <c r="A396" s="334" t="s">
        <v>3626</v>
      </c>
      <c r="B396" s="408" t="s">
        <v>195</v>
      </c>
      <c r="C396" s="409" t="s">
        <v>1103</v>
      </c>
      <c r="D396" s="409" t="s">
        <v>1104</v>
      </c>
      <c r="E396" s="409" t="s">
        <v>3654</v>
      </c>
      <c r="F396" s="334" t="s">
        <v>2966</v>
      </c>
      <c r="G396" s="409" t="s">
        <v>2957</v>
      </c>
      <c r="H396" s="409" t="s">
        <v>3655</v>
      </c>
      <c r="I396" s="419" t="s">
        <v>3004</v>
      </c>
      <c r="J396" s="334" t="s">
        <v>3000</v>
      </c>
      <c r="K396" s="334"/>
      <c r="L396" s="344"/>
      <c r="M396" s="334"/>
      <c r="N396" s="334"/>
      <c r="O396" s="345"/>
      <c r="P396" s="334"/>
      <c r="Q396" s="340"/>
      <c r="R396" s="349"/>
      <c r="S396" s="334"/>
      <c r="T396" s="334"/>
      <c r="U396" s="334"/>
      <c r="V396" s="334"/>
      <c r="W396" s="334"/>
      <c r="X396" s="334"/>
      <c r="Y396" s="334"/>
      <c r="Z396" s="334"/>
      <c r="AA396" s="334"/>
    </row>
    <row r="397" spans="1:51" ht="45.6" hidden="1" customHeight="1">
      <c r="A397" s="334" t="s">
        <v>3626</v>
      </c>
      <c r="B397" s="408" t="s">
        <v>195</v>
      </c>
      <c r="C397" s="409" t="s">
        <v>3656</v>
      </c>
      <c r="D397" s="409" t="s">
        <v>1108</v>
      </c>
      <c r="E397" s="409" t="s">
        <v>3657</v>
      </c>
      <c r="F397" s="334" t="s">
        <v>3547</v>
      </c>
      <c r="G397" s="409" t="s">
        <v>2957</v>
      </c>
      <c r="H397" s="409" t="s">
        <v>3658</v>
      </c>
      <c r="I397" s="419" t="s">
        <v>3004</v>
      </c>
      <c r="J397" s="334" t="s">
        <v>3000</v>
      </c>
      <c r="K397" s="334"/>
      <c r="L397" s="344"/>
      <c r="M397" s="334"/>
      <c r="N397" s="334"/>
      <c r="O397" s="345"/>
      <c r="P397" s="334"/>
      <c r="Q397" s="340"/>
      <c r="R397" s="349"/>
      <c r="S397" s="334"/>
      <c r="T397" s="334"/>
      <c r="U397" s="334"/>
      <c r="V397" s="334"/>
      <c r="W397" s="334"/>
      <c r="X397" s="334"/>
      <c r="Y397" s="334"/>
      <c r="Z397" s="334"/>
      <c r="AA397" s="334"/>
    </row>
    <row r="398" spans="1:51" ht="15.95" hidden="1" customHeight="1">
      <c r="A398" s="334" t="s">
        <v>3626</v>
      </c>
      <c r="B398" s="408" t="s">
        <v>195</v>
      </c>
      <c r="C398" s="409" t="s">
        <v>3659</v>
      </c>
      <c r="D398" s="409" t="s">
        <v>1112</v>
      </c>
      <c r="E398" s="409" t="s">
        <v>3660</v>
      </c>
      <c r="F398" s="334" t="s">
        <v>3547</v>
      </c>
      <c r="G398" s="409" t="s">
        <v>2957</v>
      </c>
      <c r="H398" s="409" t="s">
        <v>3661</v>
      </c>
      <c r="I398" s="419" t="s">
        <v>3004</v>
      </c>
      <c r="J398" s="334" t="s">
        <v>3000</v>
      </c>
      <c r="K398" s="334"/>
      <c r="L398" s="344"/>
      <c r="M398" s="334"/>
      <c r="N398" s="334"/>
      <c r="O398" s="345"/>
      <c r="P398" s="334"/>
      <c r="Q398" s="340"/>
      <c r="R398" s="349"/>
      <c r="S398" s="334"/>
      <c r="T398" s="334"/>
      <c r="U398" s="334"/>
      <c r="V398" s="334"/>
      <c r="W398" s="334"/>
      <c r="X398" s="334"/>
      <c r="Y398" s="334"/>
      <c r="Z398" s="334"/>
      <c r="AA398" s="334"/>
    </row>
    <row r="399" spans="1:51" ht="271.5" hidden="1" customHeight="1">
      <c r="A399" s="334" t="s">
        <v>3626</v>
      </c>
      <c r="B399" s="408" t="s">
        <v>195</v>
      </c>
      <c r="C399" s="409" t="s">
        <v>3659</v>
      </c>
      <c r="D399" s="409" t="s">
        <v>1115</v>
      </c>
      <c r="E399" s="409" t="s">
        <v>3662</v>
      </c>
      <c r="F399" s="334" t="s">
        <v>2961</v>
      </c>
      <c r="G399" s="409" t="s">
        <v>2957</v>
      </c>
      <c r="H399" s="409" t="s">
        <v>3663</v>
      </c>
      <c r="I399" s="409" t="s">
        <v>3382</v>
      </c>
      <c r="J399" s="334" t="s">
        <v>3000</v>
      </c>
      <c r="K399" s="334"/>
      <c r="L399" s="344"/>
      <c r="M399" s="334"/>
      <c r="N399" s="334"/>
      <c r="O399" s="345"/>
      <c r="P399" s="334"/>
      <c r="Q399" s="340"/>
      <c r="R399" s="349"/>
      <c r="S399" s="334"/>
      <c r="T399" s="334"/>
      <c r="U399" s="334"/>
      <c r="V399" s="334"/>
      <c r="W399" s="334"/>
      <c r="X399" s="334"/>
      <c r="Y399" s="334"/>
      <c r="Z399" s="334"/>
      <c r="AA399" s="334"/>
    </row>
    <row r="400" spans="1:51" s="478" customFormat="1" ht="50.25" hidden="1" customHeight="1">
      <c r="A400" s="334" t="s">
        <v>3626</v>
      </c>
      <c r="B400" s="484" t="s">
        <v>274</v>
      </c>
      <c r="C400" s="485" t="s">
        <v>1118</v>
      </c>
      <c r="D400" s="442" t="s">
        <v>582</v>
      </c>
      <c r="E400" s="485" t="s">
        <v>582</v>
      </c>
      <c r="F400" s="485" t="s">
        <v>582</v>
      </c>
      <c r="G400" s="442" t="s">
        <v>582</v>
      </c>
      <c r="H400" s="442" t="s">
        <v>582</v>
      </c>
      <c r="I400" s="442" t="s">
        <v>582</v>
      </c>
      <c r="J400" s="442" t="s">
        <v>582</v>
      </c>
      <c r="K400" s="442" t="s">
        <v>582</v>
      </c>
      <c r="L400" s="442" t="s">
        <v>582</v>
      </c>
      <c r="M400" s="442" t="s">
        <v>582</v>
      </c>
      <c r="N400" s="442" t="s">
        <v>582</v>
      </c>
      <c r="O400" s="442" t="s">
        <v>582</v>
      </c>
      <c r="P400" s="442" t="s">
        <v>582</v>
      </c>
      <c r="Q400" s="391"/>
      <c r="R400" s="446" t="s">
        <v>582</v>
      </c>
      <c r="S400" s="442" t="s">
        <v>582</v>
      </c>
      <c r="T400" s="442" t="s">
        <v>582</v>
      </c>
      <c r="U400" s="442"/>
      <c r="V400" s="442" t="s">
        <v>582</v>
      </c>
      <c r="W400" s="442" t="s">
        <v>582</v>
      </c>
      <c r="X400" s="442" t="s">
        <v>582</v>
      </c>
      <c r="Y400" s="442" t="s">
        <v>582</v>
      </c>
      <c r="Z400" s="442" t="s">
        <v>582</v>
      </c>
      <c r="AA400" s="442" t="s">
        <v>582</v>
      </c>
      <c r="AB400" s="327"/>
      <c r="AC400" s="327"/>
      <c r="AD400" s="327"/>
      <c r="AE400" s="327"/>
      <c r="AF400" s="327"/>
      <c r="AG400" s="327"/>
      <c r="AH400" s="327"/>
      <c r="AI400" s="327"/>
      <c r="AJ400" s="327"/>
      <c r="AK400" s="327"/>
      <c r="AL400" s="327"/>
      <c r="AM400" s="327"/>
      <c r="AN400" s="327"/>
      <c r="AO400" s="327"/>
      <c r="AP400" s="327"/>
      <c r="AQ400" s="327"/>
      <c r="AR400" s="327"/>
      <c r="AS400" s="327"/>
      <c r="AT400" s="327"/>
      <c r="AU400" s="327"/>
      <c r="AV400" s="327"/>
      <c r="AW400" s="327"/>
      <c r="AX400" s="327"/>
      <c r="AY400" s="327"/>
    </row>
    <row r="401" spans="1:51" s="478" customFormat="1" ht="48.75" hidden="1" customHeight="1">
      <c r="A401" s="334" t="s">
        <v>3626</v>
      </c>
      <c r="B401" s="484" t="s">
        <v>274</v>
      </c>
      <c r="C401" s="485" t="s">
        <v>3664</v>
      </c>
      <c r="D401" s="442" t="s">
        <v>582</v>
      </c>
      <c r="E401" s="485" t="s">
        <v>582</v>
      </c>
      <c r="F401" s="485" t="s">
        <v>582</v>
      </c>
      <c r="G401" s="442" t="s">
        <v>582</v>
      </c>
      <c r="H401" s="442" t="s">
        <v>582</v>
      </c>
      <c r="I401" s="442" t="s">
        <v>582</v>
      </c>
      <c r="J401" s="442" t="s">
        <v>582</v>
      </c>
      <c r="K401" s="442" t="s">
        <v>582</v>
      </c>
      <c r="L401" s="442" t="s">
        <v>582</v>
      </c>
      <c r="M401" s="442" t="s">
        <v>582</v>
      </c>
      <c r="N401" s="442" t="s">
        <v>582</v>
      </c>
      <c r="O401" s="442" t="s">
        <v>582</v>
      </c>
      <c r="P401" s="442" t="s">
        <v>582</v>
      </c>
      <c r="Q401" s="391"/>
      <c r="R401" s="446" t="s">
        <v>582</v>
      </c>
      <c r="S401" s="442" t="s">
        <v>582</v>
      </c>
      <c r="T401" s="442" t="s">
        <v>582</v>
      </c>
      <c r="U401" s="442"/>
      <c r="V401" s="442" t="s">
        <v>582</v>
      </c>
      <c r="W401" s="442" t="s">
        <v>582</v>
      </c>
      <c r="X401" s="442" t="s">
        <v>582</v>
      </c>
      <c r="Y401" s="442" t="s">
        <v>582</v>
      </c>
      <c r="Z401" s="442" t="s">
        <v>582</v>
      </c>
      <c r="AA401" s="442" t="s">
        <v>582</v>
      </c>
      <c r="AB401" s="327"/>
      <c r="AC401" s="327"/>
      <c r="AD401" s="327"/>
      <c r="AE401" s="327"/>
      <c r="AF401" s="327"/>
      <c r="AG401" s="327"/>
      <c r="AH401" s="327"/>
      <c r="AI401" s="327"/>
      <c r="AJ401" s="327"/>
      <c r="AK401" s="327"/>
      <c r="AL401" s="327"/>
      <c r="AM401" s="327"/>
      <c r="AN401" s="327"/>
      <c r="AO401" s="327"/>
      <c r="AP401" s="327"/>
      <c r="AQ401" s="327"/>
      <c r="AR401" s="327"/>
      <c r="AS401" s="327"/>
      <c r="AT401" s="327"/>
      <c r="AU401" s="327"/>
      <c r="AV401" s="327"/>
      <c r="AW401" s="327"/>
      <c r="AX401" s="327"/>
      <c r="AY401" s="327"/>
    </row>
    <row r="402" spans="1:51" s="478" customFormat="1" ht="45" hidden="1" customHeight="1">
      <c r="A402" s="334" t="s">
        <v>3626</v>
      </c>
      <c r="B402" s="484" t="s">
        <v>274</v>
      </c>
      <c r="C402" s="485" t="s">
        <v>3665</v>
      </c>
      <c r="D402" s="442" t="s">
        <v>582</v>
      </c>
      <c r="E402" s="485" t="s">
        <v>582</v>
      </c>
      <c r="F402" s="485" t="s">
        <v>582</v>
      </c>
      <c r="G402" s="442" t="s">
        <v>582</v>
      </c>
      <c r="H402" s="442" t="s">
        <v>582</v>
      </c>
      <c r="I402" s="442" t="s">
        <v>582</v>
      </c>
      <c r="J402" s="442" t="s">
        <v>582</v>
      </c>
      <c r="K402" s="442" t="s">
        <v>582</v>
      </c>
      <c r="L402" s="442" t="s">
        <v>582</v>
      </c>
      <c r="M402" s="442" t="s">
        <v>582</v>
      </c>
      <c r="N402" s="442" t="s">
        <v>582</v>
      </c>
      <c r="O402" s="442" t="s">
        <v>582</v>
      </c>
      <c r="P402" s="442" t="s">
        <v>582</v>
      </c>
      <c r="Q402" s="391"/>
      <c r="R402" s="446" t="s">
        <v>582</v>
      </c>
      <c r="S402" s="442" t="s">
        <v>582</v>
      </c>
      <c r="T402" s="442" t="s">
        <v>582</v>
      </c>
      <c r="U402" s="442"/>
      <c r="V402" s="442" t="s">
        <v>582</v>
      </c>
      <c r="W402" s="442" t="s">
        <v>582</v>
      </c>
      <c r="X402" s="442" t="s">
        <v>582</v>
      </c>
      <c r="Y402" s="442" t="s">
        <v>582</v>
      </c>
      <c r="Z402" s="442" t="s">
        <v>582</v>
      </c>
      <c r="AA402" s="442" t="s">
        <v>582</v>
      </c>
      <c r="AB402" s="327"/>
      <c r="AC402" s="327"/>
      <c r="AD402" s="327"/>
      <c r="AE402" s="327"/>
      <c r="AF402" s="327"/>
      <c r="AG402" s="327"/>
      <c r="AH402" s="327"/>
      <c r="AI402" s="327"/>
      <c r="AJ402" s="327"/>
      <c r="AK402" s="327"/>
      <c r="AL402" s="327"/>
      <c r="AM402" s="327"/>
      <c r="AN402" s="327"/>
      <c r="AO402" s="327"/>
      <c r="AP402" s="327"/>
      <c r="AQ402" s="327"/>
      <c r="AR402" s="327"/>
      <c r="AS402" s="327"/>
      <c r="AT402" s="327"/>
      <c r="AU402" s="327"/>
      <c r="AV402" s="327"/>
      <c r="AW402" s="327"/>
      <c r="AX402" s="327"/>
      <c r="AY402" s="327"/>
    </row>
    <row r="403" spans="1:51" ht="48" hidden="1" customHeight="1">
      <c r="A403" s="334" t="s">
        <v>3626</v>
      </c>
      <c r="B403" s="408" t="s">
        <v>274</v>
      </c>
      <c r="C403" s="409" t="s">
        <v>3666</v>
      </c>
      <c r="D403" s="409" t="s">
        <v>1122</v>
      </c>
      <c r="E403" s="409" t="s">
        <v>3667</v>
      </c>
      <c r="F403" s="334" t="s">
        <v>3009</v>
      </c>
      <c r="G403" s="409" t="s">
        <v>2957</v>
      </c>
      <c r="H403" s="409" t="s">
        <v>3668</v>
      </c>
      <c r="I403" s="419">
        <v>1</v>
      </c>
      <c r="J403" s="334" t="s">
        <v>3000</v>
      </c>
      <c r="K403" s="334"/>
      <c r="L403" s="344"/>
      <c r="M403" s="334"/>
      <c r="N403" s="334"/>
      <c r="O403" s="345"/>
      <c r="P403" s="334"/>
      <c r="Q403" s="340"/>
      <c r="R403" s="349"/>
      <c r="S403" s="334"/>
      <c r="T403" s="334"/>
      <c r="U403" s="334"/>
      <c r="V403" s="334"/>
      <c r="W403" s="334"/>
      <c r="X403" s="334"/>
      <c r="Y403" s="334"/>
      <c r="Z403" s="334"/>
      <c r="AA403" s="334"/>
    </row>
    <row r="404" spans="1:51" ht="84.75" hidden="1" customHeight="1">
      <c r="A404" s="334" t="s">
        <v>3626</v>
      </c>
      <c r="B404" s="408" t="s">
        <v>274</v>
      </c>
      <c r="C404" s="409" t="s">
        <v>3666</v>
      </c>
      <c r="D404" s="409" t="s">
        <v>1125</v>
      </c>
      <c r="E404" s="409" t="s">
        <v>3669</v>
      </c>
      <c r="F404" s="334" t="s">
        <v>3009</v>
      </c>
      <c r="G404" s="409" t="s">
        <v>2957</v>
      </c>
      <c r="H404" s="409" t="s">
        <v>2995</v>
      </c>
      <c r="I404" s="419">
        <v>1</v>
      </c>
      <c r="J404" s="334" t="s">
        <v>3000</v>
      </c>
      <c r="K404" s="334"/>
      <c r="L404" s="344"/>
      <c r="M404" s="334"/>
      <c r="N404" s="334"/>
      <c r="O404" s="345"/>
      <c r="P404" s="334"/>
      <c r="Q404" s="340"/>
      <c r="R404" s="349"/>
      <c r="S404" s="334"/>
      <c r="T404" s="334"/>
      <c r="U404" s="334"/>
      <c r="V404" s="334"/>
      <c r="W404" s="334"/>
      <c r="X404" s="334"/>
      <c r="Y404" s="334"/>
      <c r="Z404" s="334"/>
      <c r="AA404" s="334"/>
    </row>
    <row r="405" spans="1:51" ht="67.5" hidden="1">
      <c r="A405" s="334" t="s">
        <v>3626</v>
      </c>
      <c r="B405" s="408" t="s">
        <v>3321</v>
      </c>
      <c r="C405" s="409" t="s">
        <v>3670</v>
      </c>
      <c r="D405" s="409" t="s">
        <v>1129</v>
      </c>
      <c r="E405" s="409" t="s">
        <v>3671</v>
      </c>
      <c r="F405" s="442"/>
      <c r="G405" s="485" t="s">
        <v>2957</v>
      </c>
      <c r="H405" s="485"/>
      <c r="I405" s="487"/>
      <c r="J405" s="442"/>
      <c r="K405" s="442"/>
      <c r="L405" s="444"/>
      <c r="M405" s="442"/>
      <c r="N405" s="442"/>
      <c r="O405" s="445"/>
      <c r="P405" s="442"/>
      <c r="Q405" s="340"/>
      <c r="R405" s="446"/>
      <c r="S405" s="442"/>
      <c r="T405" s="442"/>
      <c r="U405" s="442"/>
      <c r="V405" s="442"/>
      <c r="W405" s="442"/>
      <c r="X405" s="442"/>
      <c r="Y405" s="442"/>
      <c r="Z405" s="442"/>
      <c r="AA405" s="334"/>
    </row>
    <row r="406" spans="1:51" ht="78.75" hidden="1">
      <c r="A406" s="334" t="s">
        <v>3626</v>
      </c>
      <c r="B406" s="408" t="s">
        <v>3321</v>
      </c>
      <c r="C406" s="409" t="s">
        <v>3670</v>
      </c>
      <c r="D406" s="409" t="s">
        <v>1131</v>
      </c>
      <c r="E406" s="348" t="s">
        <v>3672</v>
      </c>
      <c r="F406" s="352" t="s">
        <v>3547</v>
      </c>
      <c r="G406" s="409" t="s">
        <v>2957</v>
      </c>
      <c r="H406" s="409" t="s">
        <v>3673</v>
      </c>
      <c r="I406" s="419">
        <v>1</v>
      </c>
      <c r="J406" s="352" t="s">
        <v>3000</v>
      </c>
      <c r="K406" s="334"/>
      <c r="L406" s="344"/>
      <c r="M406" s="334"/>
      <c r="N406" s="334"/>
      <c r="O406" s="345"/>
      <c r="P406" s="334"/>
      <c r="Q406" s="340"/>
      <c r="R406" s="349"/>
      <c r="S406" s="334"/>
      <c r="T406" s="334"/>
      <c r="U406" s="334"/>
      <c r="V406" s="334"/>
      <c r="W406" s="334"/>
      <c r="X406" s="334"/>
      <c r="Y406" s="334"/>
      <c r="Z406" s="334"/>
      <c r="AA406" s="334"/>
    </row>
    <row r="407" spans="1:51" ht="67.5" hidden="1">
      <c r="A407" s="334" t="s">
        <v>3626</v>
      </c>
      <c r="B407" s="408" t="s">
        <v>3321</v>
      </c>
      <c r="C407" s="409" t="s">
        <v>3670</v>
      </c>
      <c r="D407" s="409" t="s">
        <v>1133</v>
      </c>
      <c r="E407" s="348" t="s">
        <v>3674</v>
      </c>
      <c r="F407" s="352" t="s">
        <v>3547</v>
      </c>
      <c r="G407" s="409" t="s">
        <v>2957</v>
      </c>
      <c r="H407" s="409" t="s">
        <v>3673</v>
      </c>
      <c r="I407" s="419">
        <v>1</v>
      </c>
      <c r="J407" s="352" t="s">
        <v>3000</v>
      </c>
      <c r="K407" s="334"/>
      <c r="L407" s="344"/>
      <c r="M407" s="334"/>
      <c r="N407" s="334"/>
      <c r="O407" s="345"/>
      <c r="P407" s="334"/>
      <c r="Q407" s="340"/>
      <c r="R407" s="349"/>
      <c r="S407" s="334"/>
      <c r="T407" s="334"/>
      <c r="U407" s="334"/>
      <c r="V407" s="334"/>
      <c r="W407" s="334"/>
      <c r="X407" s="334"/>
      <c r="Y407" s="334"/>
      <c r="Z407" s="334"/>
      <c r="AA407" s="334"/>
    </row>
    <row r="408" spans="1:51" ht="67.5" hidden="1">
      <c r="A408" s="334" t="s">
        <v>3626</v>
      </c>
      <c r="B408" s="408" t="s">
        <v>3321</v>
      </c>
      <c r="C408" s="409" t="s">
        <v>3670</v>
      </c>
      <c r="D408" s="409" t="s">
        <v>1135</v>
      </c>
      <c r="E408" s="348" t="s">
        <v>3675</v>
      </c>
      <c r="F408" s="352" t="s">
        <v>3009</v>
      </c>
      <c r="G408" s="409" t="s">
        <v>2957</v>
      </c>
      <c r="H408" s="409" t="s">
        <v>3673</v>
      </c>
      <c r="I408" s="419">
        <v>1</v>
      </c>
      <c r="J408" s="352" t="s">
        <v>3000</v>
      </c>
      <c r="K408" s="334"/>
      <c r="L408" s="344"/>
      <c r="M408" s="334"/>
      <c r="N408" s="334"/>
      <c r="O408" s="345"/>
      <c r="P408" s="334"/>
      <c r="Q408" s="340"/>
      <c r="R408" s="349"/>
      <c r="S408" s="334"/>
      <c r="T408" s="334"/>
      <c r="U408" s="334"/>
      <c r="V408" s="334"/>
      <c r="W408" s="334"/>
      <c r="X408" s="334"/>
      <c r="Y408" s="334"/>
      <c r="Z408" s="334"/>
      <c r="AA408" s="334"/>
    </row>
    <row r="409" spans="1:51" ht="67.5" hidden="1">
      <c r="A409" s="334" t="s">
        <v>3626</v>
      </c>
      <c r="B409" s="408" t="s">
        <v>3321</v>
      </c>
      <c r="C409" s="409" t="s">
        <v>3670</v>
      </c>
      <c r="D409" s="409" t="s">
        <v>1137</v>
      </c>
      <c r="E409" s="348" t="s">
        <v>3676</v>
      </c>
      <c r="F409" s="352" t="s">
        <v>2964</v>
      </c>
      <c r="G409" s="409" t="s">
        <v>2957</v>
      </c>
      <c r="H409" s="409" t="s">
        <v>3673</v>
      </c>
      <c r="I409" s="419">
        <v>1</v>
      </c>
      <c r="J409" s="352" t="s">
        <v>3000</v>
      </c>
      <c r="K409" s="334"/>
      <c r="L409" s="344"/>
      <c r="M409" s="334"/>
      <c r="N409" s="334"/>
      <c r="O409" s="345"/>
      <c r="P409" s="334"/>
      <c r="Q409" s="340"/>
      <c r="R409" s="349"/>
      <c r="S409" s="334"/>
      <c r="T409" s="334"/>
      <c r="U409" s="334"/>
      <c r="V409" s="334"/>
      <c r="W409" s="334"/>
      <c r="X409" s="334"/>
      <c r="Y409" s="334"/>
      <c r="Z409" s="334"/>
      <c r="AA409" s="334"/>
    </row>
    <row r="410" spans="1:51" ht="67.5" hidden="1">
      <c r="A410" s="334" t="s">
        <v>3626</v>
      </c>
      <c r="B410" s="408" t="s">
        <v>3321</v>
      </c>
      <c r="C410" s="409" t="s">
        <v>3670</v>
      </c>
      <c r="D410" s="409" t="s">
        <v>1139</v>
      </c>
      <c r="E410" s="348" t="s">
        <v>3677</v>
      </c>
      <c r="F410" s="334" t="s">
        <v>2964</v>
      </c>
      <c r="G410" s="409" t="s">
        <v>2957</v>
      </c>
      <c r="H410" s="409" t="s">
        <v>3673</v>
      </c>
      <c r="I410" s="419">
        <v>1</v>
      </c>
      <c r="J410" s="352" t="s">
        <v>3000</v>
      </c>
      <c r="K410" s="334"/>
      <c r="L410" s="344"/>
      <c r="M410" s="334"/>
      <c r="N410" s="334"/>
      <c r="O410" s="345"/>
      <c r="P410" s="334"/>
      <c r="Q410" s="340"/>
      <c r="R410" s="349"/>
      <c r="S410" s="334"/>
      <c r="T410" s="334"/>
      <c r="U410" s="334"/>
      <c r="V410" s="334"/>
      <c r="W410" s="334"/>
      <c r="X410" s="334"/>
      <c r="Y410" s="334"/>
      <c r="Z410" s="334"/>
      <c r="AA410" s="334"/>
    </row>
    <row r="411" spans="1:51" ht="177" hidden="1" customHeight="1">
      <c r="A411" s="334" t="s">
        <v>3626</v>
      </c>
      <c r="B411" s="408" t="s">
        <v>3321</v>
      </c>
      <c r="C411" s="409" t="s">
        <v>3670</v>
      </c>
      <c r="D411" s="409" t="s">
        <v>1141</v>
      </c>
      <c r="E411" s="409" t="s">
        <v>3678</v>
      </c>
      <c r="F411" s="352" t="s">
        <v>3547</v>
      </c>
      <c r="G411" s="409" t="s">
        <v>2954</v>
      </c>
      <c r="H411" s="409" t="s">
        <v>3679</v>
      </c>
      <c r="I411" s="419">
        <v>1</v>
      </c>
      <c r="J411" s="352" t="s">
        <v>3000</v>
      </c>
      <c r="K411" s="334"/>
      <c r="L411" s="344"/>
      <c r="M411" s="334"/>
      <c r="N411" s="334"/>
      <c r="O411" s="345"/>
      <c r="P411" s="334"/>
      <c r="Q411" s="340"/>
      <c r="R411" s="349"/>
      <c r="S411" s="334"/>
      <c r="T411" s="334"/>
      <c r="U411" s="334"/>
      <c r="V411" s="334"/>
      <c r="W411" s="334"/>
      <c r="X411" s="334"/>
      <c r="Y411" s="334"/>
      <c r="Z411" s="334"/>
      <c r="AA411" s="334"/>
    </row>
    <row r="412" spans="1:51" ht="39" hidden="1" customHeight="1">
      <c r="A412" s="334" t="s">
        <v>3626</v>
      </c>
      <c r="B412" s="408" t="s">
        <v>587</v>
      </c>
      <c r="C412" s="409" t="s">
        <v>1144</v>
      </c>
      <c r="D412" s="409" t="s">
        <v>1145</v>
      </c>
      <c r="E412" s="409" t="s">
        <v>3680</v>
      </c>
      <c r="F412" s="334"/>
      <c r="G412" s="409" t="s">
        <v>3681</v>
      </c>
      <c r="H412" s="409" t="s">
        <v>3682</v>
      </c>
      <c r="I412" s="419">
        <v>1</v>
      </c>
      <c r="J412" s="334"/>
      <c r="K412" s="334"/>
      <c r="L412" s="344"/>
      <c r="M412" s="334"/>
      <c r="N412" s="334"/>
      <c r="O412" s="345"/>
      <c r="P412" s="334"/>
      <c r="Q412" s="340"/>
      <c r="R412" s="349"/>
      <c r="S412" s="334"/>
      <c r="T412" s="334"/>
      <c r="U412" s="334"/>
      <c r="V412" s="334"/>
      <c r="W412" s="334"/>
      <c r="X412" s="334"/>
      <c r="Y412" s="334"/>
      <c r="Z412" s="334"/>
      <c r="AA412" s="334"/>
    </row>
    <row r="413" spans="1:51" ht="67.5" hidden="1">
      <c r="A413" s="334" t="s">
        <v>3626</v>
      </c>
      <c r="B413" s="408" t="s">
        <v>3321</v>
      </c>
      <c r="C413" s="409" t="s">
        <v>3683</v>
      </c>
      <c r="D413" s="409" t="s">
        <v>1148</v>
      </c>
      <c r="E413" s="409" t="s">
        <v>3680</v>
      </c>
      <c r="F413" s="352" t="s">
        <v>3547</v>
      </c>
      <c r="G413" s="409" t="s">
        <v>3681</v>
      </c>
      <c r="H413" s="409" t="s">
        <v>3217</v>
      </c>
      <c r="I413" s="419">
        <v>1</v>
      </c>
      <c r="J413" s="352" t="s">
        <v>3000</v>
      </c>
      <c r="K413" s="334"/>
      <c r="L413" s="344"/>
      <c r="M413" s="334"/>
      <c r="N413" s="334"/>
      <c r="O413" s="345"/>
      <c r="P413" s="334"/>
      <c r="Q413" s="340"/>
      <c r="R413" s="349"/>
      <c r="S413" s="334"/>
      <c r="T413" s="334"/>
      <c r="U413" s="334"/>
      <c r="V413" s="334"/>
      <c r="W413" s="334"/>
      <c r="X413" s="334"/>
      <c r="Y413" s="334"/>
      <c r="Z413" s="334"/>
      <c r="AA413" s="334"/>
    </row>
    <row r="414" spans="1:51" s="478" customFormat="1" ht="24.75" hidden="1" customHeight="1">
      <c r="A414" s="442" t="s">
        <v>24</v>
      </c>
      <c r="B414" s="484" t="s">
        <v>587</v>
      </c>
      <c r="C414" s="485" t="s">
        <v>1150</v>
      </c>
      <c r="D414" s="442" t="s">
        <v>582</v>
      </c>
      <c r="E414" s="485" t="s">
        <v>582</v>
      </c>
      <c r="F414" s="485" t="s">
        <v>582</v>
      </c>
      <c r="G414" s="442" t="s">
        <v>582</v>
      </c>
      <c r="H414" s="442" t="s">
        <v>582</v>
      </c>
      <c r="I414" s="442" t="s">
        <v>582</v>
      </c>
      <c r="J414" s="442" t="s">
        <v>582</v>
      </c>
      <c r="K414" s="442" t="s">
        <v>582</v>
      </c>
      <c r="L414" s="442" t="s">
        <v>582</v>
      </c>
      <c r="M414" s="442" t="s">
        <v>582</v>
      </c>
      <c r="N414" s="442" t="s">
        <v>582</v>
      </c>
      <c r="O414" s="442" t="s">
        <v>582</v>
      </c>
      <c r="P414" s="442" t="s">
        <v>582</v>
      </c>
      <c r="Q414" s="391"/>
      <c r="R414" s="446" t="s">
        <v>582</v>
      </c>
      <c r="S414" s="442" t="s">
        <v>582</v>
      </c>
      <c r="T414" s="442" t="s">
        <v>582</v>
      </c>
      <c r="U414" s="442"/>
      <c r="V414" s="442" t="s">
        <v>582</v>
      </c>
      <c r="W414" s="442" t="s">
        <v>582</v>
      </c>
      <c r="X414" s="442" t="s">
        <v>582</v>
      </c>
      <c r="Y414" s="442" t="s">
        <v>582</v>
      </c>
      <c r="Z414" s="442" t="s">
        <v>582</v>
      </c>
      <c r="AA414" s="442" t="s">
        <v>582</v>
      </c>
      <c r="AB414" s="327"/>
      <c r="AC414" s="327"/>
      <c r="AD414" s="327"/>
      <c r="AE414" s="327"/>
      <c r="AF414" s="327"/>
      <c r="AG414" s="327"/>
      <c r="AH414" s="327"/>
      <c r="AI414" s="327"/>
      <c r="AJ414" s="327"/>
      <c r="AK414" s="327"/>
      <c r="AL414" s="327"/>
      <c r="AM414" s="327"/>
      <c r="AN414" s="327"/>
      <c r="AO414" s="327"/>
      <c r="AP414" s="327"/>
      <c r="AQ414" s="327"/>
      <c r="AR414" s="327"/>
      <c r="AS414" s="327"/>
      <c r="AT414" s="327"/>
      <c r="AU414" s="327"/>
      <c r="AV414" s="327"/>
      <c r="AW414" s="327"/>
      <c r="AX414" s="327"/>
      <c r="AY414" s="327"/>
    </row>
    <row r="415" spans="1:51" ht="67.5" hidden="1" customHeight="1">
      <c r="A415" s="334" t="s">
        <v>3626</v>
      </c>
      <c r="B415" s="408" t="s">
        <v>3321</v>
      </c>
      <c r="C415" s="409" t="s">
        <v>3684</v>
      </c>
      <c r="D415" s="409" t="s">
        <v>1152</v>
      </c>
      <c r="E415" s="409" t="s">
        <v>3685</v>
      </c>
      <c r="F415" s="352" t="s">
        <v>3547</v>
      </c>
      <c r="G415" s="409" t="s">
        <v>2957</v>
      </c>
      <c r="H415" s="409" t="s">
        <v>3686</v>
      </c>
      <c r="I415" s="409" t="s">
        <v>3687</v>
      </c>
      <c r="J415" s="352" t="s">
        <v>3000</v>
      </c>
      <c r="K415" s="334"/>
      <c r="L415" s="344"/>
      <c r="M415" s="334"/>
      <c r="N415" s="334"/>
      <c r="O415" s="345"/>
      <c r="P415" s="334"/>
      <c r="Q415" s="340"/>
      <c r="R415" s="349"/>
      <c r="S415" s="334"/>
      <c r="T415" s="334"/>
      <c r="U415" s="334"/>
      <c r="V415" s="334"/>
      <c r="W415" s="334"/>
      <c r="X415" s="334"/>
      <c r="Y415" s="334"/>
      <c r="Z415" s="334"/>
      <c r="AA415" s="334"/>
    </row>
    <row r="416" spans="1:51" hidden="1">
      <c r="A416" s="430" t="s">
        <v>3688</v>
      </c>
      <c r="B416" s="431"/>
      <c r="C416" s="432"/>
      <c r="D416" s="432"/>
      <c r="E416" s="432"/>
      <c r="F416" s="433"/>
      <c r="G416" s="432"/>
      <c r="H416" s="432"/>
      <c r="I416" s="432"/>
      <c r="J416" s="433"/>
      <c r="K416" s="433"/>
      <c r="L416" s="433"/>
      <c r="M416" s="433"/>
      <c r="N416" s="433"/>
      <c r="O416" s="433"/>
      <c r="P416" s="434"/>
      <c r="Q416" s="435"/>
      <c r="R416" s="436"/>
      <c r="S416" s="433"/>
      <c r="T416" s="433"/>
      <c r="U416" s="433"/>
      <c r="V416" s="433"/>
      <c r="W416" s="433"/>
      <c r="X416" s="433"/>
      <c r="Y416" s="433"/>
      <c r="Z416" s="433"/>
      <c r="AA416" s="433"/>
    </row>
    <row r="417" spans="1:51" ht="78.75" hidden="1">
      <c r="A417" s="409" t="s">
        <v>3689</v>
      </c>
      <c r="B417" s="408" t="s">
        <v>2951</v>
      </c>
      <c r="C417" s="409" t="s">
        <v>3690</v>
      </c>
      <c r="D417" s="409" t="s">
        <v>1158</v>
      </c>
      <c r="E417" s="409" t="s">
        <v>3691</v>
      </c>
      <c r="F417" s="334" t="s">
        <v>2966</v>
      </c>
      <c r="G417" s="409" t="s">
        <v>2957</v>
      </c>
      <c r="H417" s="409" t="s">
        <v>3692</v>
      </c>
      <c r="I417" s="419" t="s">
        <v>3619</v>
      </c>
      <c r="J417" s="352" t="s">
        <v>3000</v>
      </c>
      <c r="K417" s="334"/>
      <c r="L417" s="344"/>
      <c r="M417" s="334"/>
      <c r="N417" s="334"/>
      <c r="O417" s="345"/>
      <c r="P417" s="334"/>
      <c r="Q417" s="340"/>
      <c r="R417" s="349"/>
      <c r="S417" s="334"/>
      <c r="T417" s="334"/>
      <c r="U417" s="334"/>
      <c r="V417" s="334"/>
      <c r="W417" s="334"/>
      <c r="X417" s="334"/>
      <c r="Y417" s="334"/>
      <c r="Z417" s="334"/>
      <c r="AA417" s="334"/>
    </row>
    <row r="418" spans="1:51" ht="68.25" hidden="1" customHeight="1">
      <c r="A418" s="409" t="s">
        <v>3689</v>
      </c>
      <c r="B418" s="408" t="s">
        <v>2951</v>
      </c>
      <c r="C418" s="409" t="s">
        <v>3693</v>
      </c>
      <c r="D418" s="409" t="s">
        <v>1162</v>
      </c>
      <c r="E418" s="409" t="s">
        <v>3694</v>
      </c>
      <c r="F418" s="334" t="s">
        <v>2964</v>
      </c>
      <c r="G418" s="409" t="s">
        <v>2957</v>
      </c>
      <c r="H418" s="409" t="s">
        <v>3695</v>
      </c>
      <c r="I418" s="409" t="s">
        <v>3696</v>
      </c>
      <c r="J418" s="352" t="s">
        <v>3000</v>
      </c>
      <c r="K418" s="334"/>
      <c r="L418" s="344"/>
      <c r="M418" s="334"/>
      <c r="N418" s="334"/>
      <c r="O418" s="345"/>
      <c r="P418" s="334"/>
      <c r="Q418" s="340"/>
      <c r="R418" s="349"/>
      <c r="S418" s="334"/>
      <c r="T418" s="334"/>
      <c r="U418" s="334"/>
      <c r="V418" s="334"/>
      <c r="W418" s="334"/>
      <c r="X418" s="334"/>
      <c r="Y418" s="334"/>
      <c r="Z418" s="334"/>
      <c r="AA418" s="334"/>
    </row>
    <row r="419" spans="1:51" ht="52.5" hidden="1" customHeight="1">
      <c r="A419" s="409" t="s">
        <v>3689</v>
      </c>
      <c r="B419" s="408" t="s">
        <v>2951</v>
      </c>
      <c r="C419" s="485" t="s">
        <v>3697</v>
      </c>
      <c r="D419" s="442" t="s">
        <v>582</v>
      </c>
      <c r="E419" s="485" t="s">
        <v>582</v>
      </c>
      <c r="F419" s="485" t="s">
        <v>582</v>
      </c>
      <c r="G419" s="442" t="s">
        <v>582</v>
      </c>
      <c r="H419" s="442" t="s">
        <v>582</v>
      </c>
      <c r="I419" s="442" t="s">
        <v>582</v>
      </c>
      <c r="J419" s="442" t="s">
        <v>582</v>
      </c>
      <c r="K419" s="442" t="s">
        <v>582</v>
      </c>
      <c r="L419" s="442" t="s">
        <v>582</v>
      </c>
      <c r="M419" s="442" t="s">
        <v>582</v>
      </c>
      <c r="N419" s="442" t="s">
        <v>582</v>
      </c>
      <c r="O419" s="442" t="s">
        <v>582</v>
      </c>
      <c r="P419" s="442" t="s">
        <v>582</v>
      </c>
      <c r="R419" s="446" t="s">
        <v>582</v>
      </c>
      <c r="S419" s="442" t="s">
        <v>582</v>
      </c>
      <c r="T419" s="442" t="s">
        <v>582</v>
      </c>
      <c r="U419" s="442"/>
      <c r="V419" s="442" t="s">
        <v>582</v>
      </c>
      <c r="W419" s="442" t="s">
        <v>582</v>
      </c>
      <c r="X419" s="442" t="s">
        <v>582</v>
      </c>
      <c r="Y419" s="442" t="s">
        <v>582</v>
      </c>
      <c r="Z419" s="442" t="s">
        <v>582</v>
      </c>
      <c r="AA419" s="442" t="s">
        <v>582</v>
      </c>
    </row>
    <row r="420" spans="1:51" ht="81" hidden="1" customHeight="1">
      <c r="A420" s="409" t="s">
        <v>3689</v>
      </c>
      <c r="B420" s="408" t="s">
        <v>195</v>
      </c>
      <c r="C420" s="409" t="s">
        <v>3698</v>
      </c>
      <c r="D420" s="409" t="s">
        <v>1168</v>
      </c>
      <c r="E420" s="409" t="s">
        <v>3699</v>
      </c>
      <c r="F420" s="334" t="s">
        <v>2966</v>
      </c>
      <c r="G420" s="409" t="s">
        <v>2967</v>
      </c>
      <c r="H420" s="409" t="s">
        <v>3700</v>
      </c>
      <c r="I420" s="409" t="s">
        <v>3701</v>
      </c>
      <c r="J420" s="352"/>
      <c r="K420" s="334"/>
      <c r="L420" s="344"/>
      <c r="M420" s="334"/>
      <c r="N420" s="334"/>
      <c r="O420" s="345"/>
      <c r="P420" s="334"/>
      <c r="Q420" s="340"/>
      <c r="R420" s="349"/>
      <c r="S420" s="334"/>
      <c r="T420" s="334"/>
      <c r="U420" s="334"/>
      <c r="V420" s="334"/>
      <c r="W420" s="334"/>
      <c r="X420" s="334"/>
      <c r="Y420" s="334"/>
      <c r="Z420" s="334"/>
      <c r="AA420" s="334"/>
    </row>
    <row r="421" spans="1:51" ht="90.75" hidden="1" customHeight="1">
      <c r="A421" s="409" t="s">
        <v>3689</v>
      </c>
      <c r="B421" s="408" t="s">
        <v>195</v>
      </c>
      <c r="C421" s="409" t="s">
        <v>3702</v>
      </c>
      <c r="D421" s="409" t="s">
        <v>1172</v>
      </c>
      <c r="E421" s="409" t="s">
        <v>3703</v>
      </c>
      <c r="F421" s="334" t="s">
        <v>2966</v>
      </c>
      <c r="G421" s="409" t="s">
        <v>2957</v>
      </c>
      <c r="H421" s="409" t="s">
        <v>3704</v>
      </c>
      <c r="I421" s="409" t="s">
        <v>3705</v>
      </c>
      <c r="J421" s="352" t="s">
        <v>3000</v>
      </c>
      <c r="K421" s="334"/>
      <c r="L421" s="344"/>
      <c r="M421" s="334"/>
      <c r="N421" s="334"/>
      <c r="O421" s="345"/>
      <c r="P421" s="334"/>
      <c r="Q421" s="340"/>
      <c r="R421" s="349"/>
      <c r="S421" s="334"/>
      <c r="T421" s="334"/>
      <c r="U421" s="334"/>
      <c r="V421" s="334"/>
      <c r="W421" s="334"/>
      <c r="X421" s="334"/>
      <c r="Y421" s="334"/>
      <c r="Z421" s="334"/>
      <c r="AA421" s="334"/>
    </row>
    <row r="422" spans="1:51" s="496" customFormat="1" ht="20.25" hidden="1" customHeight="1">
      <c r="A422" s="485" t="s">
        <v>26</v>
      </c>
      <c r="B422" s="484" t="s">
        <v>195</v>
      </c>
      <c r="C422" s="485" t="s">
        <v>1176</v>
      </c>
      <c r="D422" s="442" t="s">
        <v>582</v>
      </c>
      <c r="E422" s="485" t="s">
        <v>582</v>
      </c>
      <c r="F422" s="485" t="s">
        <v>582</v>
      </c>
      <c r="G422" s="485" t="s">
        <v>582</v>
      </c>
      <c r="H422" s="442" t="s">
        <v>582</v>
      </c>
      <c r="I422" s="442" t="s">
        <v>582</v>
      </c>
      <c r="J422" s="442" t="s">
        <v>582</v>
      </c>
      <c r="K422" s="442" t="s">
        <v>582</v>
      </c>
      <c r="L422" s="442" t="s">
        <v>582</v>
      </c>
      <c r="M422" s="442" t="s">
        <v>582</v>
      </c>
      <c r="N422" s="442" t="s">
        <v>582</v>
      </c>
      <c r="O422" s="442" t="s">
        <v>582</v>
      </c>
      <c r="P422" s="442" t="s">
        <v>582</v>
      </c>
      <c r="Q422" s="391"/>
      <c r="R422" s="446" t="s">
        <v>582</v>
      </c>
      <c r="S422" s="442" t="s">
        <v>582</v>
      </c>
      <c r="T422" s="442" t="s">
        <v>582</v>
      </c>
      <c r="U422" s="442"/>
      <c r="V422" s="442" t="s">
        <v>582</v>
      </c>
      <c r="W422" s="442" t="s">
        <v>582</v>
      </c>
      <c r="X422" s="442" t="s">
        <v>582</v>
      </c>
      <c r="Y422" s="442" t="s">
        <v>582</v>
      </c>
      <c r="Z422" s="442" t="s">
        <v>582</v>
      </c>
      <c r="AA422" s="442" t="s">
        <v>582</v>
      </c>
      <c r="AB422" s="327"/>
      <c r="AC422" s="327"/>
      <c r="AD422" s="327"/>
      <c r="AE422" s="327"/>
      <c r="AF422" s="327"/>
      <c r="AG422" s="327"/>
      <c r="AH422" s="327"/>
      <c r="AI422" s="327"/>
      <c r="AJ422" s="327"/>
      <c r="AK422" s="327"/>
      <c r="AL422" s="327"/>
      <c r="AM422" s="327"/>
      <c r="AN422" s="327"/>
      <c r="AO422" s="327"/>
      <c r="AP422" s="327"/>
      <c r="AQ422" s="327"/>
      <c r="AR422" s="327"/>
      <c r="AS422" s="327"/>
      <c r="AT422" s="327"/>
      <c r="AU422" s="327"/>
      <c r="AV422" s="327"/>
      <c r="AW422" s="327"/>
      <c r="AX422" s="327"/>
      <c r="AY422" s="327"/>
    </row>
    <row r="423" spans="1:51" s="496" customFormat="1" ht="30" hidden="1" customHeight="1">
      <c r="A423" s="485" t="s">
        <v>26</v>
      </c>
      <c r="B423" s="484" t="s">
        <v>195</v>
      </c>
      <c r="C423" s="485" t="s">
        <v>1177</v>
      </c>
      <c r="D423" s="442" t="s">
        <v>582</v>
      </c>
      <c r="E423" s="485" t="s">
        <v>582</v>
      </c>
      <c r="F423" s="485" t="s">
        <v>582</v>
      </c>
      <c r="G423" s="485" t="s">
        <v>582</v>
      </c>
      <c r="H423" s="442" t="s">
        <v>582</v>
      </c>
      <c r="I423" s="442" t="s">
        <v>582</v>
      </c>
      <c r="J423" s="442" t="s">
        <v>582</v>
      </c>
      <c r="K423" s="442" t="s">
        <v>582</v>
      </c>
      <c r="L423" s="442" t="s">
        <v>582</v>
      </c>
      <c r="M423" s="442" t="s">
        <v>582</v>
      </c>
      <c r="N423" s="442" t="s">
        <v>582</v>
      </c>
      <c r="O423" s="442" t="s">
        <v>582</v>
      </c>
      <c r="P423" s="442" t="s">
        <v>582</v>
      </c>
      <c r="Q423" s="391"/>
      <c r="R423" s="446" t="s">
        <v>582</v>
      </c>
      <c r="S423" s="442" t="s">
        <v>582</v>
      </c>
      <c r="T423" s="442" t="s">
        <v>582</v>
      </c>
      <c r="U423" s="442"/>
      <c r="V423" s="442" t="s">
        <v>582</v>
      </c>
      <c r="W423" s="442" t="s">
        <v>582</v>
      </c>
      <c r="X423" s="442" t="s">
        <v>582</v>
      </c>
      <c r="Y423" s="442" t="s">
        <v>582</v>
      </c>
      <c r="Z423" s="442" t="s">
        <v>582</v>
      </c>
      <c r="AA423" s="442" t="s">
        <v>582</v>
      </c>
      <c r="AB423" s="327"/>
      <c r="AC423" s="327"/>
      <c r="AD423" s="327"/>
      <c r="AE423" s="327"/>
      <c r="AF423" s="327"/>
      <c r="AG423" s="327"/>
      <c r="AH423" s="327"/>
      <c r="AI423" s="327"/>
      <c r="AJ423" s="327"/>
      <c r="AK423" s="327"/>
      <c r="AL423" s="327"/>
      <c r="AM423" s="327"/>
      <c r="AN423" s="327"/>
      <c r="AO423" s="327"/>
      <c r="AP423" s="327"/>
      <c r="AQ423" s="327"/>
      <c r="AR423" s="327"/>
      <c r="AS423" s="327"/>
      <c r="AT423" s="327"/>
      <c r="AU423" s="327"/>
      <c r="AV423" s="327"/>
      <c r="AW423" s="327"/>
      <c r="AX423" s="327"/>
      <c r="AY423" s="327"/>
    </row>
    <row r="424" spans="1:51" s="496" customFormat="1" ht="30" hidden="1" customHeight="1">
      <c r="A424" s="485" t="s">
        <v>26</v>
      </c>
      <c r="B424" s="484" t="s">
        <v>195</v>
      </c>
      <c r="C424" s="485" t="s">
        <v>1178</v>
      </c>
      <c r="D424" s="442" t="s">
        <v>582</v>
      </c>
      <c r="E424" s="485" t="s">
        <v>582</v>
      </c>
      <c r="F424" s="485" t="s">
        <v>582</v>
      </c>
      <c r="G424" s="485" t="s">
        <v>582</v>
      </c>
      <c r="H424" s="442" t="s">
        <v>582</v>
      </c>
      <c r="I424" s="442" t="s">
        <v>582</v>
      </c>
      <c r="J424" s="442" t="s">
        <v>582</v>
      </c>
      <c r="K424" s="442" t="s">
        <v>582</v>
      </c>
      <c r="L424" s="442" t="s">
        <v>582</v>
      </c>
      <c r="M424" s="442" t="s">
        <v>582</v>
      </c>
      <c r="N424" s="442" t="s">
        <v>582</v>
      </c>
      <c r="O424" s="442" t="s">
        <v>582</v>
      </c>
      <c r="P424" s="442" t="s">
        <v>582</v>
      </c>
      <c r="Q424" s="391"/>
      <c r="R424" s="446" t="s">
        <v>582</v>
      </c>
      <c r="S424" s="442" t="s">
        <v>582</v>
      </c>
      <c r="T424" s="442" t="s">
        <v>582</v>
      </c>
      <c r="U424" s="442"/>
      <c r="V424" s="442" t="s">
        <v>582</v>
      </c>
      <c r="W424" s="442" t="s">
        <v>582</v>
      </c>
      <c r="X424" s="442" t="s">
        <v>582</v>
      </c>
      <c r="Y424" s="442" t="s">
        <v>582</v>
      </c>
      <c r="Z424" s="442" t="s">
        <v>582</v>
      </c>
      <c r="AA424" s="442" t="s">
        <v>582</v>
      </c>
      <c r="AB424" s="327"/>
      <c r="AC424" s="327"/>
      <c r="AD424" s="327"/>
      <c r="AE424" s="327"/>
      <c r="AF424" s="327"/>
      <c r="AG424" s="327"/>
      <c r="AH424" s="327"/>
      <c r="AI424" s="327"/>
      <c r="AJ424" s="327"/>
      <c r="AK424" s="327"/>
      <c r="AL424" s="327"/>
      <c r="AM424" s="327"/>
      <c r="AN424" s="327"/>
      <c r="AO424" s="327"/>
      <c r="AP424" s="327"/>
      <c r="AQ424" s="327"/>
      <c r="AR424" s="327"/>
      <c r="AS424" s="327"/>
      <c r="AT424" s="327"/>
      <c r="AU424" s="327"/>
      <c r="AV424" s="327"/>
      <c r="AW424" s="327"/>
      <c r="AX424" s="327"/>
      <c r="AY424" s="327"/>
    </row>
    <row r="425" spans="1:51" s="496" customFormat="1" ht="18.75" hidden="1" customHeight="1">
      <c r="A425" s="485" t="s">
        <v>26</v>
      </c>
      <c r="B425" s="484" t="s">
        <v>274</v>
      </c>
      <c r="C425" s="485" t="s">
        <v>1179</v>
      </c>
      <c r="D425" s="442" t="s">
        <v>582</v>
      </c>
      <c r="E425" s="485" t="s">
        <v>582</v>
      </c>
      <c r="F425" s="485" t="s">
        <v>582</v>
      </c>
      <c r="G425" s="485" t="s">
        <v>582</v>
      </c>
      <c r="H425" s="442" t="s">
        <v>582</v>
      </c>
      <c r="I425" s="442" t="s">
        <v>582</v>
      </c>
      <c r="J425" s="442" t="s">
        <v>582</v>
      </c>
      <c r="K425" s="442" t="s">
        <v>582</v>
      </c>
      <c r="L425" s="442" t="s">
        <v>582</v>
      </c>
      <c r="M425" s="442" t="s">
        <v>582</v>
      </c>
      <c r="N425" s="442" t="s">
        <v>582</v>
      </c>
      <c r="O425" s="442" t="s">
        <v>582</v>
      </c>
      <c r="P425" s="442" t="s">
        <v>582</v>
      </c>
      <c r="Q425" s="391"/>
      <c r="R425" s="446" t="s">
        <v>582</v>
      </c>
      <c r="S425" s="442" t="s">
        <v>582</v>
      </c>
      <c r="T425" s="442" t="s">
        <v>582</v>
      </c>
      <c r="U425" s="442"/>
      <c r="V425" s="442" t="s">
        <v>582</v>
      </c>
      <c r="W425" s="442" t="s">
        <v>582</v>
      </c>
      <c r="X425" s="442" t="s">
        <v>582</v>
      </c>
      <c r="Y425" s="442" t="s">
        <v>582</v>
      </c>
      <c r="Z425" s="442" t="s">
        <v>582</v>
      </c>
      <c r="AA425" s="442" t="s">
        <v>582</v>
      </c>
      <c r="AB425" s="327"/>
      <c r="AC425" s="327"/>
      <c r="AD425" s="327"/>
      <c r="AE425" s="327"/>
      <c r="AF425" s="327"/>
      <c r="AG425" s="327"/>
      <c r="AH425" s="327"/>
      <c r="AI425" s="327"/>
      <c r="AJ425" s="327"/>
      <c r="AK425" s="327"/>
      <c r="AL425" s="327"/>
      <c r="AM425" s="327"/>
      <c r="AN425" s="327"/>
      <c r="AO425" s="327"/>
      <c r="AP425" s="327"/>
      <c r="AQ425" s="327"/>
      <c r="AR425" s="327"/>
      <c r="AS425" s="327"/>
      <c r="AT425" s="327"/>
      <c r="AU425" s="327"/>
      <c r="AV425" s="327"/>
      <c r="AW425" s="327"/>
      <c r="AX425" s="327"/>
      <c r="AY425" s="327"/>
    </row>
    <row r="426" spans="1:51" s="496" customFormat="1" ht="24.75" hidden="1" customHeight="1">
      <c r="A426" s="485" t="s">
        <v>26</v>
      </c>
      <c r="B426" s="484" t="s">
        <v>274</v>
      </c>
      <c r="C426" s="485" t="s">
        <v>1180</v>
      </c>
      <c r="D426" s="442" t="s">
        <v>582</v>
      </c>
      <c r="E426" s="485" t="s">
        <v>582</v>
      </c>
      <c r="F426" s="485" t="s">
        <v>582</v>
      </c>
      <c r="G426" s="485" t="s">
        <v>582</v>
      </c>
      <c r="H426" s="442" t="s">
        <v>582</v>
      </c>
      <c r="I426" s="442" t="s">
        <v>582</v>
      </c>
      <c r="J426" s="442" t="s">
        <v>582</v>
      </c>
      <c r="K426" s="442" t="s">
        <v>582</v>
      </c>
      <c r="L426" s="442" t="s">
        <v>582</v>
      </c>
      <c r="M426" s="442" t="s">
        <v>582</v>
      </c>
      <c r="N426" s="442" t="s">
        <v>582</v>
      </c>
      <c r="O426" s="442" t="s">
        <v>582</v>
      </c>
      <c r="P426" s="442" t="s">
        <v>582</v>
      </c>
      <c r="Q426" s="391"/>
      <c r="R426" s="446" t="s">
        <v>582</v>
      </c>
      <c r="S426" s="442" t="s">
        <v>582</v>
      </c>
      <c r="T426" s="442" t="s">
        <v>582</v>
      </c>
      <c r="U426" s="442"/>
      <c r="V426" s="442" t="s">
        <v>582</v>
      </c>
      <c r="W426" s="442" t="s">
        <v>582</v>
      </c>
      <c r="X426" s="442" t="s">
        <v>582</v>
      </c>
      <c r="Y426" s="442" t="s">
        <v>582</v>
      </c>
      <c r="Z426" s="442" t="s">
        <v>582</v>
      </c>
      <c r="AA426" s="442" t="s">
        <v>582</v>
      </c>
      <c r="AB426" s="327"/>
      <c r="AC426" s="327"/>
      <c r="AD426" s="327"/>
      <c r="AE426" s="327"/>
      <c r="AF426" s="327"/>
      <c r="AG426" s="327"/>
      <c r="AH426" s="327"/>
      <c r="AI426" s="327"/>
      <c r="AJ426" s="327"/>
      <c r="AK426" s="327"/>
      <c r="AL426" s="327"/>
      <c r="AM426" s="327"/>
      <c r="AN426" s="327"/>
      <c r="AO426" s="327"/>
      <c r="AP426" s="327"/>
      <c r="AQ426" s="327"/>
      <c r="AR426" s="327"/>
      <c r="AS426" s="327"/>
      <c r="AT426" s="327"/>
      <c r="AU426" s="327"/>
      <c r="AV426" s="327"/>
      <c r="AW426" s="327"/>
      <c r="AX426" s="327"/>
      <c r="AY426" s="327"/>
    </row>
    <row r="427" spans="1:51" s="496" customFormat="1" ht="25.5" hidden="1" customHeight="1">
      <c r="A427" s="485" t="s">
        <v>26</v>
      </c>
      <c r="B427" s="484" t="s">
        <v>274</v>
      </c>
      <c r="C427" s="485" t="s">
        <v>1181</v>
      </c>
      <c r="D427" s="442" t="s">
        <v>582</v>
      </c>
      <c r="E427" s="485" t="s">
        <v>582</v>
      </c>
      <c r="F427" s="485" t="s">
        <v>582</v>
      </c>
      <c r="G427" s="485" t="s">
        <v>582</v>
      </c>
      <c r="H427" s="442" t="s">
        <v>582</v>
      </c>
      <c r="I427" s="442" t="s">
        <v>582</v>
      </c>
      <c r="J427" s="442" t="s">
        <v>582</v>
      </c>
      <c r="K427" s="442" t="s">
        <v>582</v>
      </c>
      <c r="L427" s="442" t="s">
        <v>582</v>
      </c>
      <c r="M427" s="442" t="s">
        <v>582</v>
      </c>
      <c r="N427" s="442" t="s">
        <v>582</v>
      </c>
      <c r="O427" s="442" t="s">
        <v>582</v>
      </c>
      <c r="P427" s="442" t="s">
        <v>582</v>
      </c>
      <c r="Q427" s="391"/>
      <c r="R427" s="446" t="s">
        <v>582</v>
      </c>
      <c r="S427" s="442" t="s">
        <v>582</v>
      </c>
      <c r="T427" s="442" t="s">
        <v>582</v>
      </c>
      <c r="U427" s="442"/>
      <c r="V427" s="442" t="s">
        <v>582</v>
      </c>
      <c r="W427" s="442" t="s">
        <v>582</v>
      </c>
      <c r="X427" s="442" t="s">
        <v>582</v>
      </c>
      <c r="Y427" s="442" t="s">
        <v>582</v>
      </c>
      <c r="Z427" s="442" t="s">
        <v>582</v>
      </c>
      <c r="AA427" s="442" t="s">
        <v>582</v>
      </c>
      <c r="AB427" s="327"/>
      <c r="AC427" s="327"/>
      <c r="AD427" s="327"/>
      <c r="AE427" s="327"/>
      <c r="AF427" s="327"/>
      <c r="AG427" s="327"/>
      <c r="AH427" s="327"/>
      <c r="AI427" s="327"/>
      <c r="AJ427" s="327"/>
      <c r="AK427" s="327"/>
      <c r="AL427" s="327"/>
      <c r="AM427" s="327"/>
      <c r="AN427" s="327"/>
      <c r="AO427" s="327"/>
      <c r="AP427" s="327"/>
      <c r="AQ427" s="327"/>
      <c r="AR427" s="327"/>
      <c r="AS427" s="327"/>
      <c r="AT427" s="327"/>
      <c r="AU427" s="327"/>
      <c r="AV427" s="327"/>
      <c r="AW427" s="327"/>
      <c r="AX427" s="327"/>
      <c r="AY427" s="327"/>
    </row>
    <row r="428" spans="1:51" s="496" customFormat="1" ht="47.25" hidden="1" customHeight="1">
      <c r="A428" s="485" t="s">
        <v>26</v>
      </c>
      <c r="B428" s="484" t="s">
        <v>274</v>
      </c>
      <c r="C428" s="485" t="s">
        <v>1182</v>
      </c>
      <c r="D428" s="442" t="s">
        <v>582</v>
      </c>
      <c r="E428" s="485" t="s">
        <v>582</v>
      </c>
      <c r="F428" s="485" t="s">
        <v>582</v>
      </c>
      <c r="G428" s="485" t="s">
        <v>582</v>
      </c>
      <c r="H428" s="442" t="s">
        <v>582</v>
      </c>
      <c r="I428" s="442" t="s">
        <v>582</v>
      </c>
      <c r="J428" s="442" t="s">
        <v>582</v>
      </c>
      <c r="K428" s="442" t="s">
        <v>582</v>
      </c>
      <c r="L428" s="442" t="s">
        <v>582</v>
      </c>
      <c r="M428" s="442" t="s">
        <v>582</v>
      </c>
      <c r="N428" s="442" t="s">
        <v>582</v>
      </c>
      <c r="O428" s="442" t="s">
        <v>582</v>
      </c>
      <c r="P428" s="442" t="s">
        <v>582</v>
      </c>
      <c r="Q428" s="391"/>
      <c r="R428" s="446" t="s">
        <v>582</v>
      </c>
      <c r="S428" s="442" t="s">
        <v>582</v>
      </c>
      <c r="T428" s="442" t="s">
        <v>582</v>
      </c>
      <c r="U428" s="442"/>
      <c r="V428" s="442" t="s">
        <v>582</v>
      </c>
      <c r="W428" s="442" t="s">
        <v>582</v>
      </c>
      <c r="X428" s="442" t="s">
        <v>582</v>
      </c>
      <c r="Y428" s="442" t="s">
        <v>582</v>
      </c>
      <c r="Z428" s="442" t="s">
        <v>582</v>
      </c>
      <c r="AA428" s="442" t="s">
        <v>582</v>
      </c>
      <c r="AB428" s="327"/>
      <c r="AC428" s="327"/>
      <c r="AD428" s="327"/>
      <c r="AE428" s="327"/>
      <c r="AF428" s="327"/>
      <c r="AG428" s="327"/>
      <c r="AH428" s="327"/>
      <c r="AI428" s="327"/>
      <c r="AJ428" s="327"/>
      <c r="AK428" s="327"/>
      <c r="AL428" s="327"/>
      <c r="AM428" s="327"/>
      <c r="AN428" s="327"/>
      <c r="AO428" s="327"/>
      <c r="AP428" s="327"/>
      <c r="AQ428" s="327"/>
      <c r="AR428" s="327"/>
      <c r="AS428" s="327"/>
      <c r="AT428" s="327"/>
      <c r="AU428" s="327"/>
      <c r="AV428" s="327"/>
      <c r="AW428" s="327"/>
      <c r="AX428" s="327"/>
      <c r="AY428" s="327"/>
    </row>
    <row r="429" spans="1:51" s="496" customFormat="1" ht="45.75" hidden="1" customHeight="1">
      <c r="A429" s="485" t="s">
        <v>26</v>
      </c>
      <c r="B429" s="484" t="s">
        <v>587</v>
      </c>
      <c r="C429" s="485" t="s">
        <v>1183</v>
      </c>
      <c r="D429" s="442" t="s">
        <v>582</v>
      </c>
      <c r="E429" s="485" t="s">
        <v>582</v>
      </c>
      <c r="F429" s="485" t="s">
        <v>582</v>
      </c>
      <c r="G429" s="485" t="s">
        <v>582</v>
      </c>
      <c r="H429" s="442" t="s">
        <v>582</v>
      </c>
      <c r="I429" s="442" t="s">
        <v>582</v>
      </c>
      <c r="J429" s="442" t="s">
        <v>582</v>
      </c>
      <c r="K429" s="442" t="s">
        <v>582</v>
      </c>
      <c r="L429" s="442" t="s">
        <v>582</v>
      </c>
      <c r="M429" s="442" t="s">
        <v>582</v>
      </c>
      <c r="N429" s="442" t="s">
        <v>582</v>
      </c>
      <c r="O429" s="442" t="s">
        <v>582</v>
      </c>
      <c r="P429" s="442" t="s">
        <v>582</v>
      </c>
      <c r="Q429" s="391"/>
      <c r="R429" s="446" t="s">
        <v>582</v>
      </c>
      <c r="S429" s="442" t="s">
        <v>582</v>
      </c>
      <c r="T429" s="442" t="s">
        <v>582</v>
      </c>
      <c r="U429" s="442"/>
      <c r="V429" s="442" t="s">
        <v>582</v>
      </c>
      <c r="W429" s="442" t="s">
        <v>582</v>
      </c>
      <c r="X429" s="442" t="s">
        <v>582</v>
      </c>
      <c r="Y429" s="442" t="s">
        <v>582</v>
      </c>
      <c r="Z429" s="442" t="s">
        <v>582</v>
      </c>
      <c r="AA429" s="442" t="s">
        <v>582</v>
      </c>
      <c r="AB429" s="327"/>
      <c r="AC429" s="327"/>
      <c r="AD429" s="327"/>
      <c r="AE429" s="327"/>
      <c r="AF429" s="327"/>
      <c r="AG429" s="327"/>
      <c r="AH429" s="327"/>
      <c r="AI429" s="327"/>
      <c r="AJ429" s="327"/>
      <c r="AK429" s="327"/>
      <c r="AL429" s="327"/>
      <c r="AM429" s="327"/>
      <c r="AN429" s="327"/>
      <c r="AO429" s="327"/>
      <c r="AP429" s="327"/>
      <c r="AQ429" s="327"/>
      <c r="AR429" s="327"/>
      <c r="AS429" s="327"/>
      <c r="AT429" s="327"/>
      <c r="AU429" s="327"/>
      <c r="AV429" s="327"/>
      <c r="AW429" s="327"/>
      <c r="AX429" s="327"/>
      <c r="AY429" s="327"/>
    </row>
    <row r="430" spans="1:51" s="496" customFormat="1" ht="33" hidden="1" customHeight="1">
      <c r="A430" s="485" t="s">
        <v>26</v>
      </c>
      <c r="B430" s="484" t="s">
        <v>587</v>
      </c>
      <c r="C430" s="485" t="s">
        <v>1184</v>
      </c>
      <c r="D430" s="442" t="s">
        <v>582</v>
      </c>
      <c r="E430" s="485" t="s">
        <v>582</v>
      </c>
      <c r="F430" s="485" t="s">
        <v>582</v>
      </c>
      <c r="G430" s="485" t="s">
        <v>582</v>
      </c>
      <c r="H430" s="442" t="s">
        <v>582</v>
      </c>
      <c r="I430" s="442" t="s">
        <v>582</v>
      </c>
      <c r="J430" s="442" t="s">
        <v>582</v>
      </c>
      <c r="K430" s="442" t="s">
        <v>582</v>
      </c>
      <c r="L430" s="442" t="s">
        <v>582</v>
      </c>
      <c r="M430" s="442" t="s">
        <v>582</v>
      </c>
      <c r="N430" s="442" t="s">
        <v>582</v>
      </c>
      <c r="O430" s="442" t="s">
        <v>582</v>
      </c>
      <c r="P430" s="442" t="s">
        <v>582</v>
      </c>
      <c r="Q430" s="391"/>
      <c r="R430" s="446" t="s">
        <v>582</v>
      </c>
      <c r="S430" s="442" t="s">
        <v>582</v>
      </c>
      <c r="T430" s="442" t="s">
        <v>582</v>
      </c>
      <c r="U430" s="442"/>
      <c r="V430" s="442" t="s">
        <v>582</v>
      </c>
      <c r="W430" s="442" t="s">
        <v>582</v>
      </c>
      <c r="X430" s="442" t="s">
        <v>582</v>
      </c>
      <c r="Y430" s="442" t="s">
        <v>582</v>
      </c>
      <c r="Z430" s="442" t="s">
        <v>582</v>
      </c>
      <c r="AA430" s="442" t="s">
        <v>582</v>
      </c>
      <c r="AB430" s="327"/>
      <c r="AC430" s="327"/>
      <c r="AD430" s="327"/>
      <c r="AE430" s="327"/>
      <c r="AF430" s="327"/>
      <c r="AG430" s="327"/>
      <c r="AH430" s="327"/>
      <c r="AI430" s="327"/>
      <c r="AJ430" s="327"/>
      <c r="AK430" s="327"/>
      <c r="AL430" s="327"/>
      <c r="AM430" s="327"/>
      <c r="AN430" s="327"/>
      <c r="AO430" s="327"/>
      <c r="AP430" s="327"/>
      <c r="AQ430" s="327"/>
      <c r="AR430" s="327"/>
      <c r="AS430" s="327"/>
      <c r="AT430" s="327"/>
      <c r="AU430" s="327"/>
      <c r="AV430" s="327"/>
      <c r="AW430" s="327"/>
      <c r="AX430" s="327"/>
      <c r="AY430" s="327"/>
    </row>
    <row r="431" spans="1:51" s="496" customFormat="1" ht="89.25" hidden="1" customHeight="1">
      <c r="A431" s="485" t="s">
        <v>26</v>
      </c>
      <c r="B431" s="484" t="s">
        <v>587</v>
      </c>
      <c r="C431" s="485" t="s">
        <v>1185</v>
      </c>
      <c r="D431" s="442" t="s">
        <v>582</v>
      </c>
      <c r="E431" s="485" t="s">
        <v>582</v>
      </c>
      <c r="F431" s="485" t="s">
        <v>582</v>
      </c>
      <c r="G431" s="485" t="s">
        <v>582</v>
      </c>
      <c r="H431" s="442" t="s">
        <v>582</v>
      </c>
      <c r="I431" s="442" t="s">
        <v>582</v>
      </c>
      <c r="J431" s="442" t="s">
        <v>582</v>
      </c>
      <c r="K431" s="442" t="s">
        <v>582</v>
      </c>
      <c r="L431" s="442" t="s">
        <v>582</v>
      </c>
      <c r="M431" s="442" t="s">
        <v>582</v>
      </c>
      <c r="N431" s="442" t="s">
        <v>582</v>
      </c>
      <c r="O431" s="442" t="s">
        <v>582</v>
      </c>
      <c r="P431" s="442" t="s">
        <v>582</v>
      </c>
      <c r="Q431" s="391"/>
      <c r="R431" s="446" t="s">
        <v>582</v>
      </c>
      <c r="S431" s="442" t="s">
        <v>582</v>
      </c>
      <c r="T431" s="442" t="s">
        <v>582</v>
      </c>
      <c r="U431" s="442"/>
      <c r="V431" s="442" t="s">
        <v>582</v>
      </c>
      <c r="W431" s="442" t="s">
        <v>582</v>
      </c>
      <c r="X431" s="442" t="s">
        <v>582</v>
      </c>
      <c r="Y431" s="442" t="s">
        <v>582</v>
      </c>
      <c r="Z431" s="442" t="s">
        <v>582</v>
      </c>
      <c r="AA431" s="442" t="s">
        <v>582</v>
      </c>
      <c r="AB431" s="327"/>
      <c r="AC431" s="327"/>
      <c r="AD431" s="327"/>
      <c r="AE431" s="327"/>
      <c r="AF431" s="327"/>
      <c r="AG431" s="327"/>
      <c r="AH431" s="327"/>
      <c r="AI431" s="327"/>
      <c r="AJ431" s="327"/>
      <c r="AK431" s="327"/>
      <c r="AL431" s="327"/>
      <c r="AM431" s="327"/>
      <c r="AN431" s="327"/>
      <c r="AO431" s="327"/>
      <c r="AP431" s="327"/>
      <c r="AQ431" s="327"/>
      <c r="AR431" s="327"/>
      <c r="AS431" s="327"/>
      <c r="AT431" s="327"/>
      <c r="AU431" s="327"/>
      <c r="AV431" s="327"/>
      <c r="AW431" s="327"/>
      <c r="AX431" s="327"/>
      <c r="AY431" s="327"/>
    </row>
    <row r="432" spans="1:51" ht="78.75" hidden="1" customHeight="1">
      <c r="A432" s="409" t="s">
        <v>3689</v>
      </c>
      <c r="B432" s="408" t="s">
        <v>3321</v>
      </c>
      <c r="C432" s="409" t="s">
        <v>3706</v>
      </c>
      <c r="D432" s="409" t="s">
        <v>1187</v>
      </c>
      <c r="E432" s="409" t="s">
        <v>3707</v>
      </c>
      <c r="F432" s="334" t="s">
        <v>2966</v>
      </c>
      <c r="G432" s="409" t="s">
        <v>2957</v>
      </c>
      <c r="H432" s="409" t="s">
        <v>3375</v>
      </c>
      <c r="I432" s="419" t="s">
        <v>3619</v>
      </c>
      <c r="J432" s="352" t="s">
        <v>3000</v>
      </c>
      <c r="K432" s="334"/>
      <c r="L432" s="344"/>
      <c r="M432" s="334"/>
      <c r="N432" s="334"/>
      <c r="O432" s="345"/>
      <c r="P432" s="334"/>
      <c r="Q432" s="340"/>
      <c r="R432" s="349"/>
      <c r="S432" s="334"/>
      <c r="T432" s="334"/>
      <c r="U432" s="334"/>
      <c r="V432" s="334"/>
      <c r="W432" s="334"/>
      <c r="X432" s="334"/>
      <c r="Y432" s="334"/>
      <c r="Z432" s="334"/>
      <c r="AA432" s="334"/>
    </row>
    <row r="433" spans="2:27" s="327" customFormat="1">
      <c r="B433" s="437"/>
      <c r="C433" s="438"/>
      <c r="D433" s="438"/>
      <c r="P433" s="389"/>
      <c r="Q433" s="391"/>
      <c r="AA433" s="389"/>
    </row>
    <row r="434" spans="2:27" s="327" customFormat="1">
      <c r="B434" s="437"/>
      <c r="C434" s="438"/>
      <c r="D434" s="438"/>
      <c r="P434" s="389"/>
      <c r="Q434" s="391"/>
      <c r="AA434" s="389"/>
    </row>
    <row r="435" spans="2:27" s="327" customFormat="1">
      <c r="B435" s="437"/>
      <c r="C435" s="438"/>
      <c r="D435" s="438"/>
      <c r="P435" s="389"/>
      <c r="Q435" s="391"/>
      <c r="AA435" s="389"/>
    </row>
    <row r="436" spans="2:27" s="327" customFormat="1">
      <c r="B436" s="437"/>
      <c r="C436" s="438"/>
      <c r="D436" s="438"/>
      <c r="P436" s="389"/>
      <c r="Q436" s="391"/>
      <c r="AA436" s="389"/>
    </row>
    <row r="437" spans="2:27" s="327" customFormat="1">
      <c r="B437" s="437"/>
      <c r="C437" s="438"/>
      <c r="D437" s="438"/>
      <c r="P437" s="389"/>
      <c r="Q437" s="391"/>
      <c r="AA437" s="389"/>
    </row>
    <row r="438" spans="2:27" s="327" customFormat="1">
      <c r="B438" s="437"/>
      <c r="C438" s="438"/>
      <c r="D438" s="438"/>
      <c r="P438" s="389"/>
      <c r="Q438" s="391"/>
      <c r="AA438" s="389"/>
    </row>
    <row r="439" spans="2:27" s="327" customFormat="1">
      <c r="B439" s="437"/>
      <c r="C439" s="438"/>
      <c r="D439" s="438"/>
      <c r="P439" s="389"/>
      <c r="Q439" s="391"/>
      <c r="AA439" s="389"/>
    </row>
    <row r="440" spans="2:27" s="327" customFormat="1">
      <c r="B440" s="437"/>
      <c r="C440" s="438"/>
      <c r="D440" s="438"/>
      <c r="P440" s="389"/>
      <c r="Q440" s="391"/>
      <c r="AA440" s="389"/>
    </row>
    <row r="441" spans="2:27" s="327" customFormat="1">
      <c r="B441" s="437"/>
      <c r="C441" s="438"/>
      <c r="D441" s="438"/>
      <c r="P441" s="389"/>
      <c r="Q441" s="391"/>
      <c r="AA441" s="389"/>
    </row>
    <row r="442" spans="2:27" s="327" customFormat="1">
      <c r="B442" s="437"/>
      <c r="C442" s="438"/>
      <c r="D442" s="438"/>
      <c r="P442" s="389"/>
      <c r="Q442" s="391"/>
      <c r="AA442" s="389"/>
    </row>
    <row r="443" spans="2:27" s="327" customFormat="1">
      <c r="B443" s="437"/>
      <c r="C443" s="438"/>
      <c r="D443" s="438"/>
      <c r="P443" s="389"/>
      <c r="Q443" s="391"/>
      <c r="AA443" s="389"/>
    </row>
    <row r="444" spans="2:27" s="327" customFormat="1">
      <c r="B444" s="437"/>
      <c r="C444" s="438"/>
      <c r="D444" s="438"/>
      <c r="P444" s="389"/>
      <c r="Q444" s="391"/>
      <c r="AA444" s="389"/>
    </row>
    <row r="445" spans="2:27" s="327" customFormat="1">
      <c r="B445" s="437"/>
      <c r="C445" s="438"/>
      <c r="D445" s="438"/>
      <c r="P445" s="389"/>
      <c r="Q445" s="391"/>
      <c r="AA445" s="389"/>
    </row>
    <row r="446" spans="2:27" s="327" customFormat="1">
      <c r="B446" s="437"/>
      <c r="C446" s="438"/>
      <c r="D446" s="438"/>
      <c r="P446" s="389"/>
      <c r="Q446" s="391"/>
      <c r="AA446" s="389"/>
    </row>
    <row r="447" spans="2:27" s="327" customFormat="1">
      <c r="B447" s="437"/>
      <c r="C447" s="438"/>
      <c r="D447" s="438"/>
      <c r="P447" s="389"/>
      <c r="Q447" s="391"/>
      <c r="AA447" s="389"/>
    </row>
    <row r="448" spans="2:27" s="327" customFormat="1">
      <c r="B448" s="437"/>
      <c r="C448" s="438"/>
      <c r="D448" s="438"/>
      <c r="P448" s="389"/>
      <c r="Q448" s="391"/>
      <c r="AA448" s="389"/>
    </row>
    <row r="449" spans="2:27" s="327" customFormat="1">
      <c r="B449" s="437"/>
      <c r="C449" s="438"/>
      <c r="D449" s="438"/>
      <c r="P449" s="389"/>
      <c r="Q449" s="391"/>
      <c r="AA449" s="389"/>
    </row>
    <row r="450" spans="2:27" s="327" customFormat="1">
      <c r="B450" s="437"/>
      <c r="C450" s="438"/>
      <c r="D450" s="438"/>
      <c r="P450" s="389"/>
      <c r="Q450" s="391"/>
      <c r="AA450" s="389"/>
    </row>
    <row r="451" spans="2:27" s="327" customFormat="1">
      <c r="B451" s="437"/>
      <c r="C451" s="438"/>
      <c r="D451" s="438"/>
      <c r="P451" s="389"/>
      <c r="Q451" s="391"/>
      <c r="AA451" s="389"/>
    </row>
    <row r="452" spans="2:27" s="327" customFormat="1">
      <c r="B452" s="437"/>
      <c r="C452" s="438"/>
      <c r="D452" s="438"/>
      <c r="P452" s="389"/>
      <c r="Q452" s="391"/>
      <c r="AA452" s="389"/>
    </row>
    <row r="453" spans="2:27" s="327" customFormat="1">
      <c r="B453" s="437"/>
      <c r="C453" s="438"/>
      <c r="D453" s="438"/>
      <c r="P453" s="389"/>
      <c r="Q453" s="391"/>
      <c r="AA453" s="389"/>
    </row>
    <row r="454" spans="2:27" s="327" customFormat="1">
      <c r="B454" s="437"/>
      <c r="C454" s="438"/>
      <c r="D454" s="438"/>
      <c r="P454" s="389"/>
      <c r="Q454" s="391"/>
      <c r="AA454" s="389"/>
    </row>
    <row r="455" spans="2:27" s="327" customFormat="1">
      <c r="B455" s="437"/>
      <c r="C455" s="438"/>
      <c r="D455" s="438"/>
      <c r="P455" s="389"/>
      <c r="Q455" s="391"/>
      <c r="AA455" s="389"/>
    </row>
    <row r="456" spans="2:27" s="327" customFormat="1">
      <c r="B456" s="437"/>
      <c r="C456" s="438"/>
      <c r="D456" s="438"/>
      <c r="P456" s="389"/>
      <c r="Q456" s="391"/>
      <c r="AA456" s="389"/>
    </row>
    <row r="457" spans="2:27" s="327" customFormat="1">
      <c r="B457" s="437"/>
      <c r="C457" s="438"/>
      <c r="D457" s="438"/>
      <c r="P457" s="389"/>
      <c r="Q457" s="391"/>
      <c r="AA457" s="389"/>
    </row>
    <row r="458" spans="2:27" s="327" customFormat="1">
      <c r="B458" s="437"/>
      <c r="C458" s="438"/>
      <c r="D458" s="438"/>
      <c r="P458" s="389"/>
      <c r="Q458" s="391"/>
      <c r="AA458" s="389"/>
    </row>
    <row r="459" spans="2:27" s="327" customFormat="1">
      <c r="B459" s="437"/>
      <c r="C459" s="438"/>
      <c r="D459" s="438"/>
      <c r="P459" s="389"/>
      <c r="Q459" s="391"/>
      <c r="AA459" s="389"/>
    </row>
    <row r="460" spans="2:27" s="327" customFormat="1">
      <c r="B460" s="437"/>
      <c r="C460" s="438"/>
      <c r="D460" s="438"/>
      <c r="P460" s="389"/>
      <c r="Q460" s="391"/>
      <c r="AA460" s="389"/>
    </row>
    <row r="461" spans="2:27" s="327" customFormat="1">
      <c r="B461" s="437"/>
      <c r="C461" s="438"/>
      <c r="D461" s="438"/>
      <c r="P461" s="389"/>
      <c r="Q461" s="391"/>
      <c r="AA461" s="389"/>
    </row>
    <row r="462" spans="2:27" s="327" customFormat="1">
      <c r="B462" s="437"/>
      <c r="C462" s="438"/>
      <c r="D462" s="438"/>
      <c r="P462" s="389"/>
      <c r="Q462" s="391"/>
      <c r="AA462" s="389"/>
    </row>
    <row r="463" spans="2:27" s="327" customFormat="1">
      <c r="B463" s="437"/>
      <c r="C463" s="438"/>
      <c r="D463" s="438"/>
      <c r="P463" s="389"/>
      <c r="Q463" s="391"/>
      <c r="AA463" s="389"/>
    </row>
    <row r="464" spans="2:27" s="327" customFormat="1">
      <c r="B464" s="437"/>
      <c r="C464" s="438"/>
      <c r="D464" s="438"/>
      <c r="P464" s="389"/>
      <c r="Q464" s="391"/>
      <c r="AA464" s="389"/>
    </row>
    <row r="465" spans="2:27" s="327" customFormat="1">
      <c r="B465" s="437"/>
      <c r="C465" s="438"/>
      <c r="D465" s="438"/>
      <c r="P465" s="389"/>
      <c r="Q465" s="391"/>
      <c r="AA465" s="389"/>
    </row>
    <row r="466" spans="2:27" s="327" customFormat="1">
      <c r="B466" s="437"/>
      <c r="C466" s="438"/>
      <c r="D466" s="438"/>
      <c r="P466" s="389"/>
      <c r="Q466" s="391"/>
      <c r="AA466" s="389"/>
    </row>
    <row r="467" spans="2:27" s="327" customFormat="1">
      <c r="B467" s="437"/>
      <c r="C467" s="438"/>
      <c r="D467" s="438"/>
      <c r="P467" s="389"/>
      <c r="Q467" s="391"/>
      <c r="AA467" s="389"/>
    </row>
    <row r="468" spans="2:27" s="327" customFormat="1">
      <c r="B468" s="437"/>
      <c r="C468" s="438"/>
      <c r="D468" s="438"/>
      <c r="P468" s="389"/>
      <c r="Q468" s="391"/>
      <c r="AA468" s="389"/>
    </row>
    <row r="469" spans="2:27" s="327" customFormat="1">
      <c r="B469" s="437"/>
      <c r="C469" s="438"/>
      <c r="D469" s="438"/>
      <c r="P469" s="389"/>
      <c r="Q469" s="391"/>
      <c r="AA469" s="389"/>
    </row>
    <row r="470" spans="2:27" s="327" customFormat="1">
      <c r="B470" s="437"/>
      <c r="C470" s="438"/>
      <c r="D470" s="438"/>
      <c r="P470" s="389"/>
      <c r="Q470" s="391"/>
      <c r="AA470" s="389"/>
    </row>
    <row r="471" spans="2:27" s="327" customFormat="1">
      <c r="B471" s="437"/>
      <c r="C471" s="438"/>
      <c r="D471" s="438"/>
      <c r="P471" s="389"/>
      <c r="Q471" s="391"/>
      <c r="AA471" s="389"/>
    </row>
    <row r="472" spans="2:27" s="327" customFormat="1">
      <c r="B472" s="437"/>
      <c r="C472" s="438"/>
      <c r="D472" s="438"/>
      <c r="P472" s="389"/>
      <c r="Q472" s="391"/>
      <c r="AA472" s="389"/>
    </row>
    <row r="473" spans="2:27" s="327" customFormat="1">
      <c r="B473" s="437"/>
      <c r="C473" s="438"/>
      <c r="D473" s="438"/>
      <c r="P473" s="389"/>
      <c r="Q473" s="391"/>
      <c r="AA473" s="389"/>
    </row>
    <row r="474" spans="2:27" s="327" customFormat="1">
      <c r="B474" s="437"/>
      <c r="C474" s="438"/>
      <c r="D474" s="438"/>
      <c r="P474" s="389"/>
      <c r="Q474" s="391"/>
      <c r="AA474" s="389"/>
    </row>
    <row r="475" spans="2:27" s="327" customFormat="1">
      <c r="B475" s="437"/>
      <c r="C475" s="438"/>
      <c r="D475" s="438"/>
      <c r="P475" s="389"/>
      <c r="Q475" s="391"/>
      <c r="AA475" s="389"/>
    </row>
    <row r="476" spans="2:27" s="327" customFormat="1">
      <c r="B476" s="437"/>
      <c r="C476" s="438"/>
      <c r="D476" s="438"/>
      <c r="P476" s="389"/>
      <c r="Q476" s="391"/>
      <c r="AA476" s="389"/>
    </row>
    <row r="477" spans="2:27" s="327" customFormat="1">
      <c r="B477" s="437"/>
      <c r="C477" s="438"/>
      <c r="D477" s="438"/>
      <c r="P477" s="389"/>
      <c r="Q477" s="391"/>
      <c r="AA477" s="389"/>
    </row>
    <row r="478" spans="2:27" s="327" customFormat="1">
      <c r="B478" s="437"/>
      <c r="C478" s="438"/>
      <c r="D478" s="438"/>
      <c r="P478" s="389"/>
      <c r="Q478" s="391"/>
      <c r="AA478" s="389"/>
    </row>
    <row r="479" spans="2:27" s="327" customFormat="1">
      <c r="B479" s="437"/>
      <c r="C479" s="438"/>
      <c r="D479" s="438"/>
      <c r="P479" s="389"/>
      <c r="Q479" s="391"/>
      <c r="AA479" s="389"/>
    </row>
    <row r="480" spans="2:27" s="327" customFormat="1">
      <c r="B480" s="437"/>
      <c r="C480" s="438"/>
      <c r="D480" s="438"/>
      <c r="P480" s="389"/>
      <c r="Q480" s="391"/>
      <c r="AA480" s="389"/>
    </row>
    <row r="481" spans="2:27" s="327" customFormat="1">
      <c r="B481" s="437"/>
      <c r="C481" s="438"/>
      <c r="D481" s="438"/>
      <c r="P481" s="389"/>
      <c r="Q481" s="391"/>
      <c r="AA481" s="389"/>
    </row>
    <row r="482" spans="2:27" s="327" customFormat="1">
      <c r="B482" s="437"/>
      <c r="C482" s="438"/>
      <c r="D482" s="438"/>
      <c r="P482" s="389"/>
      <c r="Q482" s="391"/>
      <c r="AA482" s="389"/>
    </row>
    <row r="483" spans="2:27" s="327" customFormat="1">
      <c r="B483" s="437"/>
      <c r="C483" s="438"/>
      <c r="D483" s="438"/>
      <c r="P483" s="389"/>
      <c r="Q483" s="391"/>
      <c r="AA483" s="389"/>
    </row>
    <row r="484" spans="2:27" s="327" customFormat="1">
      <c r="B484" s="437"/>
      <c r="C484" s="438"/>
      <c r="D484" s="438"/>
      <c r="P484" s="389"/>
      <c r="Q484" s="391"/>
      <c r="AA484" s="389"/>
    </row>
    <row r="485" spans="2:27" s="327" customFormat="1">
      <c r="B485" s="437"/>
      <c r="C485" s="438"/>
      <c r="D485" s="438"/>
      <c r="P485" s="389"/>
      <c r="Q485" s="391"/>
      <c r="AA485" s="389"/>
    </row>
    <row r="486" spans="2:27" s="327" customFormat="1">
      <c r="B486" s="437"/>
      <c r="C486" s="438"/>
      <c r="D486" s="438"/>
      <c r="P486" s="389"/>
      <c r="Q486" s="391"/>
      <c r="AA486" s="389"/>
    </row>
    <row r="487" spans="2:27" s="327" customFormat="1">
      <c r="B487" s="437"/>
      <c r="C487" s="438"/>
      <c r="D487" s="438"/>
      <c r="P487" s="389"/>
      <c r="Q487" s="391"/>
      <c r="AA487" s="389"/>
    </row>
    <row r="488" spans="2:27" s="327" customFormat="1">
      <c r="B488" s="437"/>
      <c r="C488" s="438"/>
      <c r="D488" s="438"/>
      <c r="P488" s="389"/>
      <c r="Q488" s="391"/>
      <c r="AA488" s="389"/>
    </row>
    <row r="489" spans="2:27" s="327" customFormat="1">
      <c r="B489" s="437"/>
      <c r="C489" s="438"/>
      <c r="D489" s="438"/>
      <c r="P489" s="389"/>
      <c r="Q489" s="391"/>
      <c r="AA489" s="389"/>
    </row>
    <row r="490" spans="2:27" s="327" customFormat="1">
      <c r="B490" s="437"/>
      <c r="C490" s="438"/>
      <c r="D490" s="438"/>
      <c r="P490" s="389"/>
      <c r="Q490" s="391"/>
      <c r="AA490" s="389"/>
    </row>
    <row r="491" spans="2:27" s="327" customFormat="1">
      <c r="B491" s="437"/>
      <c r="C491" s="438"/>
      <c r="D491" s="438"/>
      <c r="P491" s="389"/>
      <c r="Q491" s="391"/>
      <c r="AA491" s="389"/>
    </row>
    <row r="492" spans="2:27" s="327" customFormat="1">
      <c r="B492" s="437"/>
      <c r="C492" s="438"/>
      <c r="D492" s="438"/>
      <c r="P492" s="389"/>
      <c r="Q492" s="391"/>
      <c r="AA492" s="389"/>
    </row>
    <row r="493" spans="2:27" s="327" customFormat="1">
      <c r="B493" s="437"/>
      <c r="C493" s="438"/>
      <c r="D493" s="438"/>
      <c r="P493" s="389"/>
      <c r="Q493" s="391"/>
      <c r="AA493" s="389"/>
    </row>
    <row r="494" spans="2:27" s="327" customFormat="1">
      <c r="B494" s="437"/>
      <c r="C494" s="438"/>
      <c r="D494" s="438"/>
      <c r="P494" s="389"/>
      <c r="Q494" s="391"/>
      <c r="AA494" s="389"/>
    </row>
    <row r="495" spans="2:27" s="327" customFormat="1">
      <c r="B495" s="437"/>
      <c r="C495" s="438"/>
      <c r="D495" s="438"/>
      <c r="P495" s="389"/>
      <c r="Q495" s="391"/>
      <c r="AA495" s="389"/>
    </row>
    <row r="496" spans="2:27" s="327" customFormat="1">
      <c r="B496" s="437"/>
      <c r="C496" s="438"/>
      <c r="D496" s="438"/>
      <c r="P496" s="389"/>
      <c r="Q496" s="391"/>
      <c r="AA496" s="389"/>
    </row>
    <row r="497" spans="2:27" s="327" customFormat="1">
      <c r="B497" s="437"/>
      <c r="C497" s="438"/>
      <c r="D497" s="438"/>
      <c r="P497" s="389"/>
      <c r="Q497" s="391"/>
      <c r="AA497" s="389"/>
    </row>
    <row r="498" spans="2:27" s="327" customFormat="1">
      <c r="B498" s="437"/>
      <c r="C498" s="438"/>
      <c r="D498" s="438"/>
      <c r="P498" s="389"/>
      <c r="Q498" s="391"/>
      <c r="AA498" s="389"/>
    </row>
    <row r="499" spans="2:27" s="327" customFormat="1">
      <c r="B499" s="437"/>
      <c r="C499" s="438"/>
      <c r="D499" s="438"/>
      <c r="P499" s="389"/>
      <c r="Q499" s="391"/>
      <c r="AA499" s="389"/>
    </row>
    <row r="500" spans="2:27" s="327" customFormat="1">
      <c r="B500" s="437"/>
      <c r="C500" s="438"/>
      <c r="D500" s="438"/>
      <c r="P500" s="389"/>
      <c r="Q500" s="391"/>
      <c r="AA500" s="389"/>
    </row>
    <row r="501" spans="2:27" s="327" customFormat="1">
      <c r="B501" s="437"/>
      <c r="C501" s="438"/>
      <c r="D501" s="438"/>
      <c r="P501" s="389"/>
      <c r="Q501" s="391"/>
      <c r="AA501" s="389"/>
    </row>
    <row r="502" spans="2:27" s="327" customFormat="1">
      <c r="B502" s="437"/>
      <c r="C502" s="438"/>
      <c r="D502" s="438"/>
      <c r="P502" s="389"/>
      <c r="Q502" s="391"/>
      <c r="AA502" s="389"/>
    </row>
    <row r="503" spans="2:27" s="327" customFormat="1">
      <c r="B503" s="437"/>
      <c r="C503" s="438"/>
      <c r="D503" s="438"/>
      <c r="P503" s="389"/>
      <c r="Q503" s="391"/>
      <c r="AA503" s="389"/>
    </row>
    <row r="504" spans="2:27" s="327" customFormat="1">
      <c r="B504" s="437"/>
      <c r="C504" s="438"/>
      <c r="D504" s="438"/>
      <c r="P504" s="389"/>
      <c r="Q504" s="391"/>
      <c r="AA504" s="389"/>
    </row>
    <row r="505" spans="2:27" s="327" customFormat="1">
      <c r="B505" s="437"/>
      <c r="C505" s="438"/>
      <c r="D505" s="438"/>
      <c r="P505" s="389"/>
      <c r="Q505" s="391"/>
      <c r="AA505" s="389"/>
    </row>
    <row r="506" spans="2:27" s="327" customFormat="1">
      <c r="B506" s="437"/>
      <c r="C506" s="438"/>
      <c r="D506" s="438"/>
      <c r="P506" s="389"/>
      <c r="Q506" s="391"/>
      <c r="AA506" s="389"/>
    </row>
    <row r="507" spans="2:27" s="327" customFormat="1">
      <c r="B507" s="437"/>
      <c r="C507" s="438"/>
      <c r="D507" s="438"/>
      <c r="P507" s="389"/>
      <c r="Q507" s="391"/>
      <c r="AA507" s="389"/>
    </row>
    <row r="508" spans="2:27" s="327" customFormat="1">
      <c r="B508" s="437"/>
      <c r="C508" s="438"/>
      <c r="D508" s="438"/>
      <c r="P508" s="389"/>
      <c r="Q508" s="391"/>
      <c r="AA508" s="389"/>
    </row>
    <row r="509" spans="2:27" s="327" customFormat="1">
      <c r="B509" s="437"/>
      <c r="C509" s="438"/>
      <c r="D509" s="438"/>
      <c r="P509" s="389"/>
      <c r="Q509" s="391"/>
      <c r="AA509" s="389"/>
    </row>
    <row r="510" spans="2:27" s="327" customFormat="1">
      <c r="B510" s="437"/>
      <c r="C510" s="438"/>
      <c r="D510" s="438"/>
      <c r="P510" s="389"/>
      <c r="Q510" s="391"/>
      <c r="AA510" s="389"/>
    </row>
    <row r="511" spans="2:27" s="327" customFormat="1">
      <c r="B511" s="437"/>
      <c r="C511" s="438"/>
      <c r="D511" s="438"/>
      <c r="P511" s="389"/>
      <c r="Q511" s="391"/>
      <c r="AA511" s="389"/>
    </row>
    <row r="512" spans="2:27" s="327" customFormat="1">
      <c r="B512" s="437"/>
      <c r="C512" s="438"/>
      <c r="D512" s="438"/>
      <c r="P512" s="389"/>
      <c r="Q512" s="391"/>
      <c r="AA512" s="389"/>
    </row>
    <row r="513" spans="2:27" s="327" customFormat="1">
      <c r="B513" s="437"/>
      <c r="C513" s="438"/>
      <c r="D513" s="438"/>
      <c r="P513" s="389"/>
      <c r="Q513" s="391"/>
      <c r="AA513" s="389"/>
    </row>
    <row r="514" spans="2:27" s="327" customFormat="1">
      <c r="B514" s="437"/>
      <c r="C514" s="438"/>
      <c r="D514" s="438"/>
      <c r="P514" s="389"/>
      <c r="Q514" s="391"/>
      <c r="AA514" s="389"/>
    </row>
    <row r="515" spans="2:27" s="327" customFormat="1">
      <c r="B515" s="437"/>
      <c r="C515" s="438"/>
      <c r="D515" s="438"/>
      <c r="P515" s="389"/>
      <c r="Q515" s="391"/>
      <c r="AA515" s="389"/>
    </row>
    <row r="516" spans="2:27" s="327" customFormat="1">
      <c r="B516" s="437"/>
      <c r="C516" s="438"/>
      <c r="D516" s="438"/>
      <c r="P516" s="389"/>
      <c r="Q516" s="391"/>
      <c r="AA516" s="389"/>
    </row>
    <row r="517" spans="2:27" s="327" customFormat="1">
      <c r="B517" s="437"/>
      <c r="C517" s="438"/>
      <c r="D517" s="438"/>
      <c r="P517" s="389"/>
      <c r="Q517" s="391"/>
      <c r="AA517" s="389"/>
    </row>
    <row r="518" spans="2:27" s="327" customFormat="1">
      <c r="B518" s="437"/>
      <c r="C518" s="438"/>
      <c r="D518" s="438"/>
      <c r="P518" s="389"/>
      <c r="Q518" s="391"/>
      <c r="AA518" s="389"/>
    </row>
    <row r="519" spans="2:27" s="327" customFormat="1">
      <c r="B519" s="437"/>
      <c r="C519" s="438"/>
      <c r="D519" s="438"/>
      <c r="P519" s="389"/>
      <c r="Q519" s="391"/>
      <c r="AA519" s="389"/>
    </row>
    <row r="520" spans="2:27" s="327" customFormat="1">
      <c r="B520" s="437"/>
      <c r="C520" s="438"/>
      <c r="D520" s="438"/>
      <c r="P520" s="389"/>
      <c r="Q520" s="391"/>
      <c r="AA520" s="389"/>
    </row>
    <row r="521" spans="2:27" s="327" customFormat="1">
      <c r="B521" s="437"/>
      <c r="C521" s="438"/>
      <c r="D521" s="438"/>
      <c r="P521" s="389"/>
      <c r="Q521" s="391"/>
      <c r="AA521" s="389"/>
    </row>
    <row r="522" spans="2:27" s="327" customFormat="1">
      <c r="B522" s="437"/>
      <c r="C522" s="438"/>
      <c r="D522" s="438"/>
      <c r="P522" s="389"/>
      <c r="Q522" s="391"/>
      <c r="AA522" s="389"/>
    </row>
    <row r="523" spans="2:27" s="327" customFormat="1">
      <c r="B523" s="437"/>
      <c r="C523" s="438"/>
      <c r="D523" s="438"/>
      <c r="P523" s="389"/>
      <c r="Q523" s="391"/>
      <c r="AA523" s="389"/>
    </row>
    <row r="524" spans="2:27" s="327" customFormat="1">
      <c r="B524" s="437"/>
      <c r="C524" s="438"/>
      <c r="D524" s="438"/>
      <c r="P524" s="389"/>
      <c r="Q524" s="391"/>
      <c r="AA524" s="389"/>
    </row>
    <row r="525" spans="2:27" s="327" customFormat="1">
      <c r="B525" s="437"/>
      <c r="C525" s="438"/>
      <c r="D525" s="438"/>
      <c r="P525" s="389"/>
      <c r="Q525" s="391"/>
      <c r="AA525" s="389"/>
    </row>
    <row r="526" spans="2:27" s="327" customFormat="1">
      <c r="B526" s="437"/>
      <c r="C526" s="438"/>
      <c r="D526" s="438"/>
      <c r="P526" s="389"/>
      <c r="Q526" s="391"/>
      <c r="AA526" s="389"/>
    </row>
    <row r="527" spans="2:27" s="327" customFormat="1">
      <c r="B527" s="437"/>
      <c r="C527" s="438"/>
      <c r="D527" s="438"/>
      <c r="P527" s="389"/>
      <c r="Q527" s="391"/>
      <c r="AA527" s="389"/>
    </row>
    <row r="528" spans="2:27" s="327" customFormat="1">
      <c r="B528" s="437"/>
      <c r="C528" s="438"/>
      <c r="D528" s="438"/>
      <c r="P528" s="389"/>
      <c r="Q528" s="391"/>
      <c r="AA528" s="389"/>
    </row>
    <row r="529" spans="2:27" s="327" customFormat="1">
      <c r="B529" s="437"/>
      <c r="C529" s="438"/>
      <c r="D529" s="438"/>
      <c r="P529" s="389"/>
      <c r="Q529" s="391"/>
      <c r="AA529" s="389"/>
    </row>
    <row r="530" spans="2:27" s="327" customFormat="1">
      <c r="B530" s="437"/>
      <c r="C530" s="438"/>
      <c r="D530" s="438"/>
      <c r="P530" s="389"/>
      <c r="Q530" s="391"/>
      <c r="AA530" s="389"/>
    </row>
    <row r="531" spans="2:27" s="327" customFormat="1">
      <c r="B531" s="437"/>
      <c r="C531" s="438"/>
      <c r="D531" s="438"/>
      <c r="P531" s="389"/>
      <c r="Q531" s="391"/>
      <c r="AA531" s="389"/>
    </row>
    <row r="532" spans="2:27" s="327" customFormat="1">
      <c r="B532" s="437"/>
      <c r="C532" s="438"/>
      <c r="D532" s="438"/>
      <c r="P532" s="389"/>
      <c r="Q532" s="391"/>
      <c r="AA532" s="389"/>
    </row>
    <row r="533" spans="2:27" s="327" customFormat="1">
      <c r="B533" s="437"/>
      <c r="C533" s="438"/>
      <c r="D533" s="438"/>
      <c r="P533" s="389"/>
      <c r="Q533" s="391"/>
      <c r="AA533" s="389"/>
    </row>
    <row r="534" spans="2:27" s="327" customFormat="1">
      <c r="B534" s="437"/>
      <c r="C534" s="438"/>
      <c r="D534" s="438"/>
      <c r="P534" s="389"/>
      <c r="Q534" s="391"/>
      <c r="AA534" s="389"/>
    </row>
    <row r="535" spans="2:27" s="327" customFormat="1">
      <c r="B535" s="437"/>
      <c r="C535" s="438"/>
      <c r="D535" s="438"/>
      <c r="P535" s="389"/>
      <c r="Q535" s="391"/>
      <c r="AA535" s="389"/>
    </row>
    <row r="536" spans="2:27" s="327" customFormat="1">
      <c r="B536" s="437"/>
      <c r="C536" s="438"/>
      <c r="D536" s="438"/>
      <c r="P536" s="389"/>
      <c r="Q536" s="391"/>
      <c r="AA536" s="389"/>
    </row>
    <row r="537" spans="2:27" s="327" customFormat="1">
      <c r="B537" s="437"/>
      <c r="C537" s="438"/>
      <c r="D537" s="438"/>
      <c r="P537" s="389"/>
      <c r="Q537" s="391"/>
      <c r="AA537" s="389"/>
    </row>
    <row r="538" spans="2:27" s="327" customFormat="1">
      <c r="B538" s="437"/>
      <c r="C538" s="438"/>
      <c r="D538" s="438"/>
      <c r="P538" s="389"/>
      <c r="Q538" s="391"/>
      <c r="AA538" s="389"/>
    </row>
    <row r="539" spans="2:27" s="327" customFormat="1">
      <c r="B539" s="437"/>
      <c r="C539" s="438"/>
      <c r="D539" s="438"/>
      <c r="P539" s="389"/>
      <c r="Q539" s="391"/>
      <c r="AA539" s="389"/>
    </row>
    <row r="540" spans="2:27" s="327" customFormat="1">
      <c r="B540" s="437"/>
      <c r="C540" s="438"/>
      <c r="D540" s="438"/>
      <c r="P540" s="389"/>
      <c r="Q540" s="391"/>
      <c r="AA540" s="389"/>
    </row>
    <row r="541" spans="2:27" s="327" customFormat="1">
      <c r="B541" s="437"/>
      <c r="C541" s="438"/>
      <c r="D541" s="438"/>
      <c r="P541" s="389"/>
      <c r="Q541" s="391"/>
      <c r="AA541" s="389"/>
    </row>
    <row r="542" spans="2:27" s="327" customFormat="1">
      <c r="B542" s="437"/>
      <c r="C542" s="438"/>
      <c r="D542" s="438"/>
      <c r="P542" s="389"/>
      <c r="Q542" s="391"/>
      <c r="AA542" s="389"/>
    </row>
    <row r="543" spans="2:27" s="327" customFormat="1">
      <c r="B543" s="437"/>
      <c r="C543" s="438"/>
      <c r="D543" s="438"/>
      <c r="P543" s="389"/>
      <c r="Q543" s="391"/>
      <c r="AA543" s="389"/>
    </row>
    <row r="544" spans="2:27" s="327" customFormat="1">
      <c r="B544" s="437"/>
      <c r="C544" s="438"/>
      <c r="D544" s="438"/>
      <c r="P544" s="389"/>
      <c r="Q544" s="391"/>
      <c r="AA544" s="389"/>
    </row>
    <row r="545" spans="2:27" s="327" customFormat="1">
      <c r="B545" s="437"/>
      <c r="C545" s="438"/>
      <c r="D545" s="438"/>
      <c r="P545" s="389"/>
      <c r="Q545" s="391"/>
      <c r="AA545" s="389"/>
    </row>
    <row r="546" spans="2:27" s="327" customFormat="1">
      <c r="B546" s="437"/>
      <c r="C546" s="438"/>
      <c r="D546" s="438"/>
      <c r="P546" s="389"/>
      <c r="Q546" s="391"/>
      <c r="AA546" s="389"/>
    </row>
    <row r="547" spans="2:27" s="327" customFormat="1">
      <c r="B547" s="437"/>
      <c r="C547" s="438"/>
      <c r="D547" s="438"/>
      <c r="P547" s="389"/>
      <c r="Q547" s="391"/>
      <c r="AA547" s="389"/>
    </row>
    <row r="548" spans="2:27" s="327" customFormat="1">
      <c r="B548" s="437"/>
      <c r="C548" s="438"/>
      <c r="D548" s="438"/>
      <c r="P548" s="389"/>
      <c r="Q548" s="391"/>
      <c r="AA548" s="389"/>
    </row>
    <row r="549" spans="2:27" s="327" customFormat="1">
      <c r="B549" s="437"/>
      <c r="C549" s="438"/>
      <c r="D549" s="438"/>
      <c r="P549" s="389"/>
      <c r="Q549" s="391"/>
      <c r="AA549" s="389"/>
    </row>
    <row r="550" spans="2:27" s="327" customFormat="1">
      <c r="B550" s="437"/>
      <c r="C550" s="438"/>
      <c r="D550" s="438"/>
      <c r="P550" s="389"/>
      <c r="Q550" s="391"/>
      <c r="AA550" s="389"/>
    </row>
    <row r="551" spans="2:27" s="327" customFormat="1">
      <c r="B551" s="437"/>
      <c r="C551" s="438"/>
      <c r="D551" s="438"/>
      <c r="P551" s="389"/>
      <c r="Q551" s="391"/>
      <c r="AA551" s="389"/>
    </row>
    <row r="552" spans="2:27" s="327" customFormat="1">
      <c r="B552" s="437"/>
      <c r="C552" s="438"/>
      <c r="D552" s="438"/>
      <c r="P552" s="389"/>
      <c r="Q552" s="391"/>
      <c r="AA552" s="389"/>
    </row>
    <row r="553" spans="2:27" s="327" customFormat="1">
      <c r="B553" s="437"/>
      <c r="C553" s="438"/>
      <c r="D553" s="438"/>
      <c r="P553" s="389"/>
      <c r="Q553" s="391"/>
      <c r="AA553" s="389"/>
    </row>
    <row r="554" spans="2:27" s="327" customFormat="1">
      <c r="B554" s="437"/>
      <c r="C554" s="438"/>
      <c r="D554" s="438"/>
      <c r="P554" s="389"/>
      <c r="Q554" s="391"/>
      <c r="AA554" s="389"/>
    </row>
    <row r="555" spans="2:27" s="327" customFormat="1">
      <c r="B555" s="437"/>
      <c r="C555" s="438"/>
      <c r="D555" s="438"/>
      <c r="P555" s="389"/>
      <c r="Q555" s="391"/>
      <c r="AA555" s="389"/>
    </row>
    <row r="556" spans="2:27" s="327" customFormat="1">
      <c r="B556" s="437"/>
      <c r="C556" s="438"/>
      <c r="D556" s="438"/>
      <c r="P556" s="389"/>
      <c r="Q556" s="391"/>
      <c r="AA556" s="389"/>
    </row>
    <row r="557" spans="2:27" s="327" customFormat="1">
      <c r="B557" s="437"/>
      <c r="C557" s="438"/>
      <c r="D557" s="438"/>
      <c r="P557" s="389"/>
      <c r="Q557" s="391"/>
      <c r="AA557" s="389"/>
    </row>
    <row r="558" spans="2:27" s="327" customFormat="1">
      <c r="B558" s="437"/>
      <c r="C558" s="438"/>
      <c r="D558" s="438"/>
      <c r="P558" s="389"/>
      <c r="Q558" s="391"/>
      <c r="AA558" s="389"/>
    </row>
    <row r="559" spans="2:27" s="327" customFormat="1">
      <c r="B559" s="437"/>
      <c r="C559" s="438"/>
      <c r="D559" s="438"/>
      <c r="P559" s="389"/>
      <c r="Q559" s="391"/>
      <c r="AA559" s="389"/>
    </row>
    <row r="560" spans="2:27" s="327" customFormat="1">
      <c r="B560" s="437"/>
      <c r="C560" s="438"/>
      <c r="D560" s="438"/>
      <c r="P560" s="389"/>
      <c r="Q560" s="391"/>
      <c r="AA560" s="389"/>
    </row>
    <row r="561" spans="2:27" s="327" customFormat="1">
      <c r="B561" s="437"/>
      <c r="C561" s="438"/>
      <c r="D561" s="438"/>
      <c r="P561" s="389"/>
      <c r="Q561" s="391"/>
      <c r="AA561" s="389"/>
    </row>
    <row r="562" spans="2:27" s="327" customFormat="1">
      <c r="B562" s="437"/>
      <c r="C562" s="438"/>
      <c r="D562" s="438"/>
      <c r="P562" s="389"/>
      <c r="Q562" s="391"/>
      <c r="AA562" s="389"/>
    </row>
    <row r="563" spans="2:27" s="327" customFormat="1">
      <c r="B563" s="437"/>
      <c r="C563" s="438"/>
      <c r="D563" s="438"/>
      <c r="P563" s="389"/>
      <c r="Q563" s="391"/>
      <c r="AA563" s="389"/>
    </row>
    <row r="564" spans="2:27" s="327" customFormat="1">
      <c r="B564" s="437"/>
      <c r="C564" s="438"/>
      <c r="D564" s="438"/>
      <c r="P564" s="389"/>
      <c r="Q564" s="391"/>
      <c r="AA564" s="389"/>
    </row>
    <row r="565" spans="2:27" s="327" customFormat="1">
      <c r="B565" s="437"/>
      <c r="C565" s="438"/>
      <c r="D565" s="438"/>
      <c r="P565" s="389"/>
      <c r="Q565" s="391"/>
      <c r="AA565" s="389"/>
    </row>
    <row r="566" spans="2:27" s="327" customFormat="1">
      <c r="B566" s="437"/>
      <c r="C566" s="438"/>
      <c r="D566" s="438"/>
      <c r="P566" s="389"/>
      <c r="Q566" s="391"/>
      <c r="AA566" s="389"/>
    </row>
    <row r="567" spans="2:27" s="327" customFormat="1">
      <c r="B567" s="437"/>
      <c r="C567" s="438"/>
      <c r="D567" s="438"/>
      <c r="P567" s="389"/>
      <c r="Q567" s="391"/>
      <c r="AA567" s="389"/>
    </row>
    <row r="568" spans="2:27" s="327" customFormat="1">
      <c r="B568" s="437"/>
      <c r="C568" s="438"/>
      <c r="D568" s="438"/>
      <c r="P568" s="389"/>
      <c r="Q568" s="391"/>
      <c r="AA568" s="389"/>
    </row>
    <row r="569" spans="2:27" s="327" customFormat="1">
      <c r="B569" s="437"/>
      <c r="C569" s="438"/>
      <c r="D569" s="438"/>
      <c r="P569" s="389"/>
      <c r="Q569" s="391"/>
      <c r="AA569" s="389"/>
    </row>
    <row r="570" spans="2:27" s="327" customFormat="1">
      <c r="B570" s="437"/>
      <c r="C570" s="438"/>
      <c r="D570" s="438"/>
      <c r="P570" s="389"/>
      <c r="Q570" s="391"/>
      <c r="AA570" s="389"/>
    </row>
    <row r="571" spans="2:27" s="327" customFormat="1">
      <c r="B571" s="437"/>
      <c r="C571" s="438"/>
      <c r="D571" s="438"/>
      <c r="P571" s="389"/>
      <c r="Q571" s="391"/>
      <c r="AA571" s="389"/>
    </row>
    <row r="572" spans="2:27" s="327" customFormat="1">
      <c r="B572" s="437"/>
      <c r="C572" s="438"/>
      <c r="D572" s="438"/>
      <c r="P572" s="389"/>
      <c r="Q572" s="391"/>
      <c r="AA572" s="389"/>
    </row>
    <row r="573" spans="2:27" s="327" customFormat="1">
      <c r="B573" s="437"/>
      <c r="C573" s="438"/>
      <c r="D573" s="438"/>
      <c r="P573" s="389"/>
      <c r="Q573" s="391"/>
      <c r="AA573" s="389"/>
    </row>
    <row r="574" spans="2:27" s="327" customFormat="1">
      <c r="B574" s="437"/>
      <c r="C574" s="438"/>
      <c r="D574" s="438"/>
      <c r="P574" s="389"/>
      <c r="Q574" s="391"/>
      <c r="AA574" s="389"/>
    </row>
    <row r="575" spans="2:27" s="327" customFormat="1">
      <c r="B575" s="437"/>
      <c r="C575" s="438"/>
      <c r="D575" s="438"/>
      <c r="P575" s="389"/>
      <c r="Q575" s="391"/>
      <c r="AA575" s="389"/>
    </row>
    <row r="576" spans="2:27" s="327" customFormat="1">
      <c r="B576" s="437"/>
      <c r="C576" s="438"/>
      <c r="D576" s="438"/>
      <c r="P576" s="389"/>
      <c r="Q576" s="391"/>
      <c r="AA576" s="389"/>
    </row>
    <row r="577" spans="2:27" s="327" customFormat="1">
      <c r="B577" s="437"/>
      <c r="C577" s="438"/>
      <c r="D577" s="438"/>
      <c r="P577" s="389"/>
      <c r="Q577" s="391"/>
      <c r="AA577" s="389"/>
    </row>
    <row r="578" spans="2:27" s="327" customFormat="1">
      <c r="B578" s="437"/>
      <c r="C578" s="438"/>
      <c r="D578" s="438"/>
      <c r="P578" s="389"/>
      <c r="Q578" s="391"/>
      <c r="AA578" s="389"/>
    </row>
    <row r="579" spans="2:27" s="327" customFormat="1">
      <c r="B579" s="437"/>
      <c r="C579" s="438"/>
      <c r="D579" s="438"/>
      <c r="P579" s="389"/>
      <c r="Q579" s="391"/>
      <c r="AA579" s="389"/>
    </row>
    <row r="580" spans="2:27" s="327" customFormat="1">
      <c r="B580" s="437"/>
      <c r="C580" s="438"/>
      <c r="D580" s="438"/>
      <c r="P580" s="389"/>
      <c r="Q580" s="391"/>
      <c r="AA580" s="389"/>
    </row>
    <row r="581" spans="2:27" s="327" customFormat="1">
      <c r="B581" s="437"/>
      <c r="C581" s="438"/>
      <c r="D581" s="438"/>
      <c r="P581" s="389"/>
      <c r="Q581" s="391"/>
      <c r="AA581" s="389"/>
    </row>
    <row r="582" spans="2:27" s="327" customFormat="1">
      <c r="B582" s="437"/>
      <c r="C582" s="438"/>
      <c r="D582" s="438"/>
      <c r="P582" s="389"/>
      <c r="Q582" s="391"/>
      <c r="AA582" s="389"/>
    </row>
    <row r="583" spans="2:27" s="327" customFormat="1">
      <c r="B583" s="437"/>
      <c r="C583" s="438"/>
      <c r="D583" s="438"/>
      <c r="P583" s="389"/>
      <c r="Q583" s="391"/>
      <c r="AA583" s="389"/>
    </row>
    <row r="584" spans="2:27" s="327" customFormat="1">
      <c r="B584" s="437"/>
      <c r="C584" s="438"/>
      <c r="D584" s="438"/>
      <c r="P584" s="389"/>
      <c r="Q584" s="391"/>
      <c r="AA584" s="389"/>
    </row>
    <row r="585" spans="2:27" s="327" customFormat="1">
      <c r="B585" s="437"/>
      <c r="C585" s="438"/>
      <c r="D585" s="438"/>
      <c r="P585" s="389"/>
      <c r="Q585" s="391"/>
      <c r="AA585" s="389"/>
    </row>
    <row r="586" spans="2:27" s="327" customFormat="1">
      <c r="B586" s="437"/>
      <c r="C586" s="438"/>
      <c r="D586" s="438"/>
      <c r="P586" s="389"/>
      <c r="Q586" s="391"/>
      <c r="AA586" s="389"/>
    </row>
    <row r="587" spans="2:27" s="327" customFormat="1">
      <c r="B587" s="437"/>
      <c r="C587" s="438"/>
      <c r="D587" s="438"/>
      <c r="P587" s="389"/>
      <c r="Q587" s="391"/>
      <c r="AA587" s="389"/>
    </row>
    <row r="588" spans="2:27" s="327" customFormat="1">
      <c r="B588" s="437"/>
      <c r="C588" s="438"/>
      <c r="D588" s="438"/>
      <c r="P588" s="389"/>
      <c r="Q588" s="391"/>
      <c r="AA588" s="389"/>
    </row>
    <row r="589" spans="2:27" s="327" customFormat="1">
      <c r="B589" s="437"/>
      <c r="C589" s="438"/>
      <c r="D589" s="438"/>
      <c r="P589" s="389"/>
      <c r="Q589" s="391"/>
      <c r="AA589" s="389"/>
    </row>
    <row r="590" spans="2:27" s="327" customFormat="1">
      <c r="B590" s="437"/>
      <c r="C590" s="438"/>
      <c r="D590" s="438"/>
      <c r="P590" s="389"/>
      <c r="Q590" s="391"/>
      <c r="AA590" s="389"/>
    </row>
    <row r="591" spans="2:27" s="327" customFormat="1">
      <c r="B591" s="437"/>
      <c r="C591" s="438"/>
      <c r="D591" s="438"/>
      <c r="P591" s="389"/>
      <c r="Q591" s="391"/>
      <c r="AA591" s="389"/>
    </row>
    <row r="592" spans="2:27" s="327" customFormat="1">
      <c r="B592" s="437"/>
      <c r="C592" s="438"/>
      <c r="D592" s="438"/>
      <c r="P592" s="389"/>
      <c r="Q592" s="391"/>
      <c r="AA592" s="389"/>
    </row>
    <row r="593" spans="2:27" s="327" customFormat="1">
      <c r="B593" s="437"/>
      <c r="C593" s="438"/>
      <c r="D593" s="438"/>
      <c r="P593" s="389"/>
      <c r="Q593" s="391"/>
      <c r="AA593" s="389"/>
    </row>
    <row r="594" spans="2:27" s="327" customFormat="1">
      <c r="B594" s="437"/>
      <c r="C594" s="438"/>
      <c r="D594" s="438"/>
      <c r="P594" s="389"/>
      <c r="Q594" s="391"/>
      <c r="AA594" s="389"/>
    </row>
    <row r="595" spans="2:27" s="327" customFormat="1">
      <c r="B595" s="437"/>
      <c r="C595" s="438"/>
      <c r="D595" s="438"/>
      <c r="P595" s="389"/>
      <c r="Q595" s="391"/>
      <c r="AA595" s="389"/>
    </row>
    <row r="596" spans="2:27" s="327" customFormat="1">
      <c r="B596" s="437"/>
      <c r="C596" s="438"/>
      <c r="D596" s="438"/>
      <c r="P596" s="389"/>
      <c r="Q596" s="391"/>
      <c r="AA596" s="389"/>
    </row>
    <row r="597" spans="2:27" s="327" customFormat="1">
      <c r="B597" s="437"/>
      <c r="C597" s="438"/>
      <c r="D597" s="438"/>
      <c r="P597" s="389"/>
      <c r="Q597" s="391"/>
      <c r="AA597" s="389"/>
    </row>
  </sheetData>
  <autoFilter ref="A1:O432" xr:uid="{00000000-0009-0000-0000-000002000000}">
    <filterColumn colId="2">
      <filters>
        <filter val="1.3 Operations"/>
        <filter val="1.3 Opérations"/>
      </filters>
    </filterColumn>
  </autoFilter>
  <dataValidations count="1">
    <dataValidation type="textLength" operator="lessThan" allowBlank="1" showInputMessage="1" showErrorMessage="1" sqref="P1:P9 P223 P226:P262 P268:P432 P11:P221 AA1:AA432" xr:uid="{1C789C0A-B688-40B1-96F6-1D3AAF0A471F}">
      <formula1>256</formula1>
      <formula2>0</formula2>
    </dataValidation>
  </dataValidations>
  <pageMargins left="0.7" right="0.7" top="0.75" bottom="0.75" header="0.51180555555555496" footer="0.51180555555555496"/>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10CE1-B5CA-4786-9F3F-E8459DC4C465}">
  <sheetPr filterMode="1"/>
  <dimension ref="A1:AY597"/>
  <sheetViews>
    <sheetView workbookViewId="0"/>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0" style="46" hidden="1" customWidth="1"/>
    <col min="18" max="26" width="14.140625" style="26" hidden="1" customWidth="1"/>
    <col min="27" max="27" width="20.85546875" style="1" hidden="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277"/>
      <c r="R1" s="36" t="s">
        <v>44</v>
      </c>
      <c r="S1" s="7" t="s">
        <v>45</v>
      </c>
      <c r="T1" s="7" t="s">
        <v>46</v>
      </c>
      <c r="U1" s="7" t="s">
        <v>47</v>
      </c>
      <c r="V1" s="7" t="s">
        <v>48</v>
      </c>
      <c r="W1" s="7" t="s">
        <v>39</v>
      </c>
      <c r="X1" s="7" t="s">
        <v>49</v>
      </c>
      <c r="Y1" s="7" t="s">
        <v>50</v>
      </c>
      <c r="Z1" s="7" t="s">
        <v>51</v>
      </c>
      <c r="AA1" s="7" t="s">
        <v>43</v>
      </c>
    </row>
    <row r="2" spans="1:27">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c r="A3" s="8" t="s">
        <v>53</v>
      </c>
      <c r="B3" s="29" t="s">
        <v>54</v>
      </c>
      <c r="C3" s="8" t="s">
        <v>55</v>
      </c>
      <c r="D3" s="8" t="s">
        <v>56</v>
      </c>
      <c r="E3" s="8" t="s">
        <v>57</v>
      </c>
      <c r="F3" s="20"/>
      <c r="G3" s="20" t="s">
        <v>58</v>
      </c>
      <c r="H3" s="20" t="s">
        <v>59</v>
      </c>
      <c r="I3" s="22">
        <v>1</v>
      </c>
      <c r="J3" s="20"/>
      <c r="K3" s="20"/>
      <c r="L3" s="278"/>
      <c r="M3" s="20"/>
      <c r="N3" s="20"/>
      <c r="O3" s="279"/>
      <c r="P3" s="20"/>
      <c r="Q3" s="132"/>
      <c r="R3" s="39"/>
      <c r="S3" s="20"/>
      <c r="T3" s="20"/>
      <c r="U3" s="20"/>
      <c r="V3" s="20"/>
      <c r="W3" s="20"/>
      <c r="X3" s="20"/>
      <c r="Y3" s="20"/>
      <c r="Z3" s="20"/>
      <c r="AA3" s="20"/>
    </row>
    <row r="4" spans="1:27" ht="141.75">
      <c r="A4" s="8" t="s">
        <v>53</v>
      </c>
      <c r="B4" s="29" t="s">
        <v>54</v>
      </c>
      <c r="C4" s="8" t="s">
        <v>55</v>
      </c>
      <c r="D4" s="8" t="s">
        <v>60</v>
      </c>
      <c r="E4" s="69" t="s">
        <v>61</v>
      </c>
      <c r="F4" s="8" t="s">
        <v>3708</v>
      </c>
      <c r="G4" s="8" t="s">
        <v>62</v>
      </c>
      <c r="H4" s="8" t="s">
        <v>59</v>
      </c>
      <c r="I4" s="9">
        <v>1</v>
      </c>
      <c r="J4" s="9" t="s">
        <v>1090</v>
      </c>
      <c r="K4" s="9" t="s">
        <v>3709</v>
      </c>
      <c r="L4" s="283"/>
      <c r="M4" s="9"/>
      <c r="N4" s="9"/>
      <c r="O4" s="281"/>
      <c r="P4" s="8"/>
      <c r="Q4" s="282"/>
      <c r="R4" s="37"/>
      <c r="S4" s="9"/>
      <c r="T4" s="9"/>
      <c r="U4" s="9"/>
      <c r="V4" s="9"/>
      <c r="W4" s="9"/>
      <c r="X4" s="9"/>
      <c r="Y4" s="9"/>
      <c r="Z4" s="9"/>
      <c r="AA4" s="8"/>
    </row>
    <row r="5" spans="1:27" ht="236.25">
      <c r="A5" s="8" t="s">
        <v>53</v>
      </c>
      <c r="B5" s="29" t="s">
        <v>54</v>
      </c>
      <c r="C5" s="8" t="s">
        <v>55</v>
      </c>
      <c r="D5" s="8" t="s">
        <v>63</v>
      </c>
      <c r="E5" s="69" t="s">
        <v>64</v>
      </c>
      <c r="F5" s="8" t="s">
        <v>3710</v>
      </c>
      <c r="G5" s="8" t="s">
        <v>62</v>
      </c>
      <c r="H5" s="8" t="s">
        <v>59</v>
      </c>
      <c r="I5" s="9">
        <v>1</v>
      </c>
      <c r="J5" s="9" t="s">
        <v>1191</v>
      </c>
      <c r="K5" s="9" t="s">
        <v>3711</v>
      </c>
      <c r="L5" s="283"/>
      <c r="M5" s="9" t="s">
        <v>9</v>
      </c>
      <c r="N5" s="9"/>
      <c r="O5" s="281"/>
      <c r="P5" s="8"/>
      <c r="Q5" s="282"/>
      <c r="R5" s="37"/>
      <c r="S5" s="9"/>
      <c r="T5" s="9"/>
      <c r="U5" s="9"/>
      <c r="V5" s="9"/>
      <c r="W5" s="9"/>
      <c r="X5" s="9"/>
      <c r="Y5" s="9"/>
      <c r="Z5" s="9"/>
      <c r="AA5" s="8"/>
    </row>
    <row r="6" spans="1:27" ht="110.25">
      <c r="A6" s="8" t="s">
        <v>53</v>
      </c>
      <c r="B6" s="29" t="s">
        <v>54</v>
      </c>
      <c r="C6" s="8" t="s">
        <v>55</v>
      </c>
      <c r="D6" s="8" t="s">
        <v>65</v>
      </c>
      <c r="E6" s="69" t="s">
        <v>66</v>
      </c>
      <c r="F6" s="8" t="s">
        <v>3710</v>
      </c>
      <c r="G6" s="8" t="s">
        <v>62</v>
      </c>
      <c r="H6" s="8" t="s">
        <v>59</v>
      </c>
      <c r="I6" s="9">
        <v>1</v>
      </c>
      <c r="J6" s="9" t="s">
        <v>1191</v>
      </c>
      <c r="K6" s="9" t="s">
        <v>3712</v>
      </c>
      <c r="L6" s="283"/>
      <c r="M6" s="9" t="s">
        <v>9</v>
      </c>
      <c r="N6" s="13"/>
      <c r="O6" s="281"/>
      <c r="P6" s="8"/>
      <c r="Q6" s="282"/>
      <c r="R6" s="37"/>
      <c r="S6" s="9"/>
      <c r="T6" s="9"/>
      <c r="U6" s="9"/>
      <c r="V6" s="9"/>
      <c r="W6" s="9"/>
      <c r="X6" s="9"/>
      <c r="Y6" s="9"/>
      <c r="Z6" s="9"/>
      <c r="AA6" s="8"/>
    </row>
    <row r="7" spans="1:27" ht="94.5">
      <c r="A7" s="8" t="s">
        <v>53</v>
      </c>
      <c r="B7" s="29" t="s">
        <v>54</v>
      </c>
      <c r="C7" s="8" t="s">
        <v>55</v>
      </c>
      <c r="D7" s="8" t="s">
        <v>67</v>
      </c>
      <c r="E7" s="69" t="s">
        <v>68</v>
      </c>
      <c r="F7" s="8" t="s">
        <v>3710</v>
      </c>
      <c r="G7" s="8" t="s">
        <v>62</v>
      </c>
      <c r="H7" s="8" t="s">
        <v>59</v>
      </c>
      <c r="I7" s="9">
        <v>1</v>
      </c>
      <c r="J7" s="9" t="s">
        <v>1191</v>
      </c>
      <c r="K7" s="9" t="s">
        <v>3713</v>
      </c>
      <c r="L7" s="283"/>
      <c r="M7" s="9" t="s">
        <v>9</v>
      </c>
      <c r="N7" s="13"/>
      <c r="O7" s="281"/>
      <c r="P7" s="8"/>
      <c r="Q7" s="282"/>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283"/>
      <c r="M8" s="8"/>
      <c r="N8" s="8"/>
      <c r="O8" s="281"/>
      <c r="P8" s="8"/>
      <c r="Q8" s="132"/>
      <c r="R8" s="38"/>
      <c r="S8" s="8"/>
      <c r="T8" s="8"/>
      <c r="U8" s="8"/>
      <c r="V8" s="8"/>
      <c r="W8" s="8"/>
      <c r="X8" s="8"/>
      <c r="Y8" s="8"/>
      <c r="Z8" s="8"/>
      <c r="AA8" s="8"/>
    </row>
    <row r="9" spans="1:27" ht="299.25" hidden="1">
      <c r="A9" s="8" t="s">
        <v>53</v>
      </c>
      <c r="B9" s="29" t="s">
        <v>54</v>
      </c>
      <c r="C9" s="8" t="s">
        <v>55</v>
      </c>
      <c r="D9" s="8" t="s">
        <v>74</v>
      </c>
      <c r="E9" s="8" t="s">
        <v>75</v>
      </c>
      <c r="F9" s="8"/>
      <c r="G9" s="8" t="s">
        <v>71</v>
      </c>
      <c r="H9" s="8" t="s">
        <v>76</v>
      </c>
      <c r="I9" s="8" t="s">
        <v>77</v>
      </c>
      <c r="J9" s="8"/>
      <c r="K9" s="10"/>
      <c r="L9" s="283"/>
      <c r="M9" s="8"/>
      <c r="N9" s="8"/>
      <c r="O9" s="281"/>
      <c r="P9" s="8"/>
      <c r="Q9" s="132"/>
      <c r="R9" s="38"/>
      <c r="S9" s="8"/>
      <c r="T9" s="8"/>
      <c r="U9" s="8"/>
      <c r="V9" s="8"/>
      <c r="W9" s="8"/>
      <c r="X9" s="8"/>
      <c r="Y9" s="8"/>
      <c r="Z9" s="8"/>
      <c r="AA9" s="8"/>
    </row>
    <row r="10" spans="1:27" ht="110.25">
      <c r="A10" s="8" t="s">
        <v>53</v>
      </c>
      <c r="B10" s="29" t="s">
        <v>54</v>
      </c>
      <c r="C10" s="8" t="s">
        <v>55</v>
      </c>
      <c r="D10" s="8" t="s">
        <v>78</v>
      </c>
      <c r="E10" s="8" t="s">
        <v>79</v>
      </c>
      <c r="F10" s="8"/>
      <c r="G10" s="8" t="s">
        <v>62</v>
      </c>
      <c r="H10" s="8" t="s">
        <v>80</v>
      </c>
      <c r="I10" s="8">
        <v>5</v>
      </c>
      <c r="J10" s="8" t="s">
        <v>1191</v>
      </c>
      <c r="K10" s="8" t="s">
        <v>3714</v>
      </c>
      <c r="L10" s="283"/>
      <c r="M10" s="8" t="s">
        <v>10</v>
      </c>
      <c r="N10" s="13"/>
      <c r="O10" s="281"/>
      <c r="P10" s="8"/>
      <c r="Q10" s="132"/>
      <c r="R10" s="38"/>
      <c r="S10" s="8"/>
      <c r="T10" s="8"/>
      <c r="U10" s="8"/>
      <c r="V10" s="8"/>
      <c r="W10" s="8"/>
      <c r="X10" s="8"/>
      <c r="Y10" s="8"/>
      <c r="Z10" s="8"/>
      <c r="AA10" s="8"/>
    </row>
    <row r="11" spans="1:27" ht="63">
      <c r="A11" s="8" t="s">
        <v>53</v>
      </c>
      <c r="B11" s="29" t="s">
        <v>54</v>
      </c>
      <c r="C11" s="8" t="s">
        <v>81</v>
      </c>
      <c r="D11" s="8" t="s">
        <v>82</v>
      </c>
      <c r="E11" s="8" t="s">
        <v>83</v>
      </c>
      <c r="F11" s="20"/>
      <c r="G11" s="20" t="s">
        <v>62</v>
      </c>
      <c r="H11" s="20" t="s">
        <v>84</v>
      </c>
      <c r="I11" s="20" t="s">
        <v>85</v>
      </c>
      <c r="J11" s="20" t="s">
        <v>1191</v>
      </c>
      <c r="K11" s="20" t="s">
        <v>3715</v>
      </c>
      <c r="L11" s="278"/>
      <c r="M11" s="20"/>
      <c r="N11" s="20"/>
      <c r="O11" s="279"/>
      <c r="P11" s="20"/>
      <c r="Q11" s="132"/>
      <c r="R11" s="39"/>
      <c r="S11" s="20"/>
      <c r="T11" s="20"/>
      <c r="U11" s="20"/>
      <c r="V11" s="20"/>
      <c r="W11" s="20"/>
      <c r="X11" s="20"/>
      <c r="Y11" s="20"/>
      <c r="Z11" s="20"/>
      <c r="AA11" s="20"/>
    </row>
    <row r="12" spans="1:27" ht="157.5">
      <c r="A12" s="8" t="s">
        <v>53</v>
      </c>
      <c r="B12" s="29" t="s">
        <v>54</v>
      </c>
      <c r="C12" s="8" t="s">
        <v>81</v>
      </c>
      <c r="D12" s="8" t="s">
        <v>86</v>
      </c>
      <c r="E12" s="69" t="s">
        <v>87</v>
      </c>
      <c r="F12" s="8" t="s">
        <v>3710</v>
      </c>
      <c r="G12" s="8" t="s">
        <v>62</v>
      </c>
      <c r="H12" s="8" t="s">
        <v>84</v>
      </c>
      <c r="I12" s="8" t="s">
        <v>85</v>
      </c>
      <c r="J12" s="8" t="s">
        <v>1191</v>
      </c>
      <c r="K12" s="9" t="s">
        <v>3716</v>
      </c>
      <c r="L12" s="283"/>
      <c r="M12" s="8" t="s">
        <v>10</v>
      </c>
      <c r="N12" s="8"/>
      <c r="O12" s="281"/>
      <c r="P12" s="8"/>
      <c r="Q12" s="132"/>
      <c r="R12" s="38"/>
      <c r="S12" s="8"/>
      <c r="T12" s="8"/>
      <c r="U12" s="8"/>
      <c r="V12" s="8"/>
      <c r="W12" s="8"/>
      <c r="X12" s="8"/>
      <c r="Y12" s="8"/>
      <c r="Z12" s="8"/>
      <c r="AA12" s="8"/>
    </row>
    <row r="13" spans="1:27" ht="94.5">
      <c r="A13" s="8" t="s">
        <v>53</v>
      </c>
      <c r="B13" s="29" t="s">
        <v>54</v>
      </c>
      <c r="C13" s="8" t="s">
        <v>81</v>
      </c>
      <c r="D13" s="8" t="s">
        <v>88</v>
      </c>
      <c r="E13" s="69" t="s">
        <v>89</v>
      </c>
      <c r="F13" s="8" t="s">
        <v>3710</v>
      </c>
      <c r="G13" s="8" t="s">
        <v>62</v>
      </c>
      <c r="H13" s="8" t="s">
        <v>84</v>
      </c>
      <c r="I13" s="8" t="s">
        <v>85</v>
      </c>
      <c r="J13" s="8" t="s">
        <v>1191</v>
      </c>
      <c r="K13" s="9" t="s">
        <v>3717</v>
      </c>
      <c r="L13" s="283"/>
      <c r="M13" s="8" t="s">
        <v>10</v>
      </c>
      <c r="N13" s="8"/>
      <c r="O13" s="281"/>
      <c r="P13" s="8"/>
      <c r="Q13" s="132"/>
      <c r="R13" s="38"/>
      <c r="S13" s="8"/>
      <c r="T13" s="8"/>
      <c r="U13" s="8"/>
      <c r="V13" s="8"/>
      <c r="W13" s="8"/>
      <c r="X13" s="8"/>
      <c r="Y13" s="8"/>
      <c r="Z13" s="8"/>
      <c r="AA13" s="8"/>
    </row>
    <row r="14" spans="1:27" ht="126">
      <c r="A14" s="8" t="s">
        <v>53</v>
      </c>
      <c r="B14" s="29" t="s">
        <v>54</v>
      </c>
      <c r="C14" s="8" t="s">
        <v>81</v>
      </c>
      <c r="D14" s="8" t="s">
        <v>90</v>
      </c>
      <c r="E14" s="69" t="s">
        <v>91</v>
      </c>
      <c r="F14" s="8" t="s">
        <v>3718</v>
      </c>
      <c r="G14" s="8" t="s">
        <v>62</v>
      </c>
      <c r="H14" s="8" t="s">
        <v>84</v>
      </c>
      <c r="I14" s="8" t="s">
        <v>85</v>
      </c>
      <c r="J14" s="8" t="s">
        <v>1191</v>
      </c>
      <c r="K14" s="9" t="s">
        <v>3719</v>
      </c>
      <c r="L14" s="283"/>
      <c r="M14" s="8" t="s">
        <v>10</v>
      </c>
      <c r="N14" s="8"/>
      <c r="O14" s="281"/>
      <c r="P14" s="8"/>
      <c r="Q14" s="132"/>
      <c r="R14" s="38"/>
      <c r="S14" s="8"/>
      <c r="T14" s="8"/>
      <c r="U14" s="8"/>
      <c r="V14" s="8"/>
      <c r="W14" s="8"/>
      <c r="X14" s="8"/>
      <c r="Y14" s="8"/>
      <c r="Z14" s="8"/>
      <c r="AA14" s="8"/>
    </row>
    <row r="15" spans="1:27" ht="157.5">
      <c r="A15" s="8" t="s">
        <v>53</v>
      </c>
      <c r="B15" s="29" t="s">
        <v>54</v>
      </c>
      <c r="C15" s="8" t="s">
        <v>81</v>
      </c>
      <c r="D15" s="8" t="s">
        <v>92</v>
      </c>
      <c r="E15" s="69" t="s">
        <v>93</v>
      </c>
      <c r="F15" s="8" t="s">
        <v>3708</v>
      </c>
      <c r="G15" s="8" t="s">
        <v>62</v>
      </c>
      <c r="H15" s="8" t="s">
        <v>84</v>
      </c>
      <c r="I15" s="8" t="s">
        <v>85</v>
      </c>
      <c r="J15" s="8" t="s">
        <v>1090</v>
      </c>
      <c r="K15" s="8" t="s">
        <v>3720</v>
      </c>
      <c r="L15" s="283"/>
      <c r="M15" s="8"/>
      <c r="N15" s="8"/>
      <c r="O15" s="281"/>
      <c r="P15" s="8"/>
      <c r="Q15" s="132"/>
      <c r="R15" s="38"/>
      <c r="S15" s="8"/>
      <c r="T15" s="8"/>
      <c r="U15" s="8"/>
      <c r="V15" s="8"/>
      <c r="W15" s="8"/>
      <c r="X15" s="8"/>
      <c r="Y15" s="8"/>
      <c r="Z15" s="8"/>
      <c r="AA15" s="8"/>
    </row>
    <row r="16" spans="1:27" ht="267.75">
      <c r="A16" s="8" t="s">
        <v>53</v>
      </c>
      <c r="B16" s="29" t="s">
        <v>54</v>
      </c>
      <c r="C16" s="8" t="s">
        <v>81</v>
      </c>
      <c r="D16" s="8" t="s">
        <v>94</v>
      </c>
      <c r="E16" s="69" t="s">
        <v>95</v>
      </c>
      <c r="F16" s="8" t="s">
        <v>3708</v>
      </c>
      <c r="G16" s="8" t="s">
        <v>62</v>
      </c>
      <c r="H16" s="8" t="s">
        <v>84</v>
      </c>
      <c r="I16" s="8" t="s">
        <v>85</v>
      </c>
      <c r="J16" s="8" t="s">
        <v>1191</v>
      </c>
      <c r="K16" s="8" t="s">
        <v>3721</v>
      </c>
      <c r="L16" s="283"/>
      <c r="M16" s="8" t="s">
        <v>9</v>
      </c>
      <c r="N16" s="8"/>
      <c r="O16" s="281"/>
      <c r="P16" s="8"/>
      <c r="Q16" s="132"/>
      <c r="R16" s="38"/>
      <c r="S16" s="8"/>
      <c r="T16" s="8"/>
      <c r="U16" s="8"/>
      <c r="V16" s="8"/>
      <c r="W16" s="8"/>
      <c r="X16" s="8"/>
      <c r="Y16" s="8"/>
      <c r="Z16" s="8"/>
      <c r="AA16" s="8"/>
    </row>
    <row r="17" spans="1:27" ht="315">
      <c r="A17" s="8" t="s">
        <v>53</v>
      </c>
      <c r="B17" s="29" t="s">
        <v>54</v>
      </c>
      <c r="C17" s="8" t="s">
        <v>81</v>
      </c>
      <c r="D17" s="8" t="s">
        <v>96</v>
      </c>
      <c r="E17" s="69" t="s">
        <v>97</v>
      </c>
      <c r="F17" s="8" t="s">
        <v>3710</v>
      </c>
      <c r="G17" s="8" t="s">
        <v>62</v>
      </c>
      <c r="H17" s="8" t="s">
        <v>84</v>
      </c>
      <c r="I17" s="8" t="s">
        <v>85</v>
      </c>
      <c r="J17" s="8" t="s">
        <v>1191</v>
      </c>
      <c r="K17" s="8" t="s">
        <v>3722</v>
      </c>
      <c r="L17" s="283"/>
      <c r="M17" s="8" t="s">
        <v>10</v>
      </c>
      <c r="N17" s="8"/>
      <c r="O17" s="281"/>
      <c r="P17" s="8"/>
      <c r="Q17" s="132"/>
      <c r="R17" s="38"/>
      <c r="S17" s="8"/>
      <c r="T17" s="8"/>
      <c r="U17" s="8"/>
      <c r="V17" s="8"/>
      <c r="W17" s="8"/>
      <c r="X17" s="8"/>
      <c r="Y17" s="8"/>
      <c r="Z17" s="8"/>
      <c r="AA17" s="8"/>
    </row>
    <row r="18" spans="1:27" ht="189">
      <c r="A18" s="8" t="s">
        <v>53</v>
      </c>
      <c r="B18" s="29" t="s">
        <v>54</v>
      </c>
      <c r="C18" s="8" t="s">
        <v>81</v>
      </c>
      <c r="D18" s="8" t="s">
        <v>98</v>
      </c>
      <c r="E18" s="69" t="s">
        <v>99</v>
      </c>
      <c r="F18" s="8" t="s">
        <v>3710</v>
      </c>
      <c r="G18" s="8" t="s">
        <v>62</v>
      </c>
      <c r="H18" s="8" t="s">
        <v>84</v>
      </c>
      <c r="I18" s="8" t="s">
        <v>85</v>
      </c>
      <c r="J18" s="8" t="s">
        <v>1191</v>
      </c>
      <c r="K18" s="8" t="s">
        <v>3723</v>
      </c>
      <c r="L18" s="283"/>
      <c r="M18" s="8"/>
      <c r="N18" s="13"/>
      <c r="O18" s="281"/>
      <c r="P18" s="8"/>
      <c r="Q18" s="132"/>
      <c r="R18" s="38"/>
      <c r="S18" s="8"/>
      <c r="T18" s="8"/>
      <c r="U18" s="8"/>
      <c r="V18" s="8"/>
      <c r="W18" s="8"/>
      <c r="X18" s="8"/>
      <c r="Y18" s="8"/>
      <c r="Z18" s="8"/>
      <c r="AA18" s="8"/>
    </row>
    <row r="19" spans="1:27" ht="94.5">
      <c r="A19" s="8" t="s">
        <v>53</v>
      </c>
      <c r="B19" s="29" t="s">
        <v>54</v>
      </c>
      <c r="C19" s="8" t="s">
        <v>81</v>
      </c>
      <c r="D19" s="8" t="s">
        <v>100</v>
      </c>
      <c r="E19" s="69" t="s">
        <v>101</v>
      </c>
      <c r="F19" s="8" t="s">
        <v>3710</v>
      </c>
      <c r="G19" s="8" t="s">
        <v>62</v>
      </c>
      <c r="H19" s="8" t="s">
        <v>84</v>
      </c>
      <c r="I19" s="8" t="s">
        <v>85</v>
      </c>
      <c r="J19" s="8" t="s">
        <v>1191</v>
      </c>
      <c r="K19" s="8" t="s">
        <v>3724</v>
      </c>
      <c r="L19" s="283"/>
      <c r="M19" s="8"/>
      <c r="N19" s="13"/>
      <c r="O19" s="281"/>
      <c r="P19" s="8"/>
      <c r="Q19" s="132"/>
      <c r="R19" s="38"/>
      <c r="S19" s="8"/>
      <c r="T19" s="8"/>
      <c r="U19" s="8"/>
      <c r="V19" s="8"/>
      <c r="W19" s="8"/>
      <c r="X19" s="8"/>
      <c r="Y19" s="8"/>
      <c r="Z19" s="8"/>
      <c r="AA19" s="8"/>
    </row>
    <row r="20" spans="1:27" ht="204.75">
      <c r="A20" s="8" t="s">
        <v>53</v>
      </c>
      <c r="B20" s="29" t="s">
        <v>54</v>
      </c>
      <c r="C20" s="8" t="s">
        <v>81</v>
      </c>
      <c r="D20" s="8" t="s">
        <v>102</v>
      </c>
      <c r="E20" s="69" t="s">
        <v>103</v>
      </c>
      <c r="F20" s="8" t="s">
        <v>3708</v>
      </c>
      <c r="G20" s="8" t="s">
        <v>62</v>
      </c>
      <c r="H20" s="8" t="s">
        <v>84</v>
      </c>
      <c r="I20" s="8" t="s">
        <v>85</v>
      </c>
      <c r="J20" s="8" t="s">
        <v>1090</v>
      </c>
      <c r="K20" s="8" t="s">
        <v>3725</v>
      </c>
      <c r="L20" s="283"/>
      <c r="M20" s="8"/>
      <c r="N20" s="8"/>
      <c r="O20" s="281"/>
      <c r="P20" s="8"/>
      <c r="Q20" s="132"/>
      <c r="R20" s="38"/>
      <c r="S20" s="8"/>
      <c r="T20" s="8"/>
      <c r="U20" s="8"/>
      <c r="V20" s="8"/>
      <c r="W20" s="8"/>
      <c r="X20" s="8"/>
      <c r="Y20" s="8"/>
      <c r="Z20" s="8"/>
      <c r="AA20" s="8"/>
    </row>
    <row r="21" spans="1:27" ht="142.5" customHeight="1">
      <c r="A21" s="8" t="s">
        <v>53</v>
      </c>
      <c r="B21" s="29" t="s">
        <v>54</v>
      </c>
      <c r="C21" s="8" t="s">
        <v>81</v>
      </c>
      <c r="D21" s="8" t="s">
        <v>104</v>
      </c>
      <c r="E21" s="8" t="s">
        <v>105</v>
      </c>
      <c r="F21" s="8" t="s">
        <v>3710</v>
      </c>
      <c r="G21" s="8" t="s">
        <v>62</v>
      </c>
      <c r="H21" s="8" t="s">
        <v>106</v>
      </c>
      <c r="I21" s="9">
        <v>1</v>
      </c>
      <c r="J21" s="9" t="s">
        <v>1191</v>
      </c>
      <c r="K21" s="11" t="s">
        <v>3726</v>
      </c>
      <c r="L21" s="283"/>
      <c r="M21" s="9" t="s">
        <v>10</v>
      </c>
      <c r="N21" s="9"/>
      <c r="O21" s="281"/>
      <c r="P21" s="8"/>
      <c r="Q21" s="282"/>
      <c r="R21" s="37"/>
      <c r="S21" s="9"/>
      <c r="T21" s="9"/>
      <c r="U21" s="9"/>
      <c r="V21" s="9"/>
      <c r="W21" s="9"/>
      <c r="X21" s="9"/>
      <c r="Y21" s="9"/>
      <c r="Z21" s="9"/>
      <c r="AA21" s="8"/>
    </row>
    <row r="22" spans="1:27" ht="65.25" customHeight="1">
      <c r="A22" s="8" t="s">
        <v>53</v>
      </c>
      <c r="B22" s="29" t="s">
        <v>54</v>
      </c>
      <c r="C22" s="8" t="s">
        <v>81</v>
      </c>
      <c r="D22" s="8" t="s">
        <v>107</v>
      </c>
      <c r="E22" s="8" t="s">
        <v>108</v>
      </c>
      <c r="F22" s="8" t="s">
        <v>3718</v>
      </c>
      <c r="G22" s="8" t="s">
        <v>62</v>
      </c>
      <c r="H22" s="8" t="s">
        <v>109</v>
      </c>
      <c r="I22" s="14" t="s">
        <v>110</v>
      </c>
      <c r="J22" s="8" t="s">
        <v>1090</v>
      </c>
      <c r="K22" s="8" t="s">
        <v>3727</v>
      </c>
      <c r="L22" s="283"/>
      <c r="M22" s="8"/>
      <c r="N22" s="8"/>
      <c r="O22" s="281"/>
      <c r="P22" s="8"/>
      <c r="Q22" s="132"/>
      <c r="R22" s="38"/>
      <c r="S22" s="8"/>
      <c r="T22" s="8"/>
      <c r="U22" s="8"/>
      <c r="V22" s="8"/>
      <c r="W22" s="8"/>
      <c r="X22" s="8"/>
      <c r="Y22" s="8"/>
      <c r="Z22" s="8"/>
      <c r="AA22" s="8"/>
    </row>
    <row r="23" spans="1:27" ht="78.75">
      <c r="A23" s="8" t="s">
        <v>53</v>
      </c>
      <c r="B23" s="29" t="s">
        <v>54</v>
      </c>
      <c r="C23" s="8" t="s">
        <v>81</v>
      </c>
      <c r="D23" s="8" t="s">
        <v>111</v>
      </c>
      <c r="E23" s="8" t="s">
        <v>112</v>
      </c>
      <c r="F23" s="20"/>
      <c r="G23" s="20" t="s">
        <v>62</v>
      </c>
      <c r="H23" s="20" t="s">
        <v>113</v>
      </c>
      <c r="I23" s="22">
        <v>1</v>
      </c>
      <c r="J23" s="22"/>
      <c r="K23" s="20"/>
      <c r="L23" s="278"/>
      <c r="M23" s="22"/>
      <c r="N23" s="22"/>
      <c r="O23" s="279"/>
      <c r="P23" s="20"/>
      <c r="Q23" s="282"/>
      <c r="R23" s="61"/>
      <c r="S23" s="22"/>
      <c r="T23" s="22"/>
      <c r="U23" s="22"/>
      <c r="V23" s="22"/>
      <c r="W23" s="22"/>
      <c r="X23" s="22"/>
      <c r="Y23" s="22"/>
      <c r="Z23" s="22"/>
      <c r="AA23" s="20"/>
    </row>
    <row r="24" spans="1:27" ht="63.75" customHeight="1">
      <c r="A24" s="8" t="s">
        <v>53</v>
      </c>
      <c r="B24" s="29" t="s">
        <v>54</v>
      </c>
      <c r="C24" s="8" t="s">
        <v>81</v>
      </c>
      <c r="D24" s="8" t="s">
        <v>114</v>
      </c>
      <c r="E24" s="69" t="s">
        <v>115</v>
      </c>
      <c r="F24" s="8" t="s">
        <v>3708</v>
      </c>
      <c r="G24" s="8" t="s">
        <v>62</v>
      </c>
      <c r="H24" s="8" t="s">
        <v>113</v>
      </c>
      <c r="I24" s="9">
        <v>1</v>
      </c>
      <c r="J24" s="9" t="s">
        <v>1191</v>
      </c>
      <c r="K24" s="11" t="s">
        <v>3728</v>
      </c>
      <c r="L24" s="283"/>
      <c r="M24" s="9" t="s">
        <v>9</v>
      </c>
      <c r="N24" s="9"/>
      <c r="O24" s="281"/>
      <c r="P24" s="8"/>
      <c r="Q24" s="282"/>
      <c r="R24" s="37"/>
      <c r="S24" s="9"/>
      <c r="T24" s="9"/>
      <c r="U24" s="9"/>
      <c r="V24" s="9"/>
      <c r="W24" s="9"/>
      <c r="X24" s="9"/>
      <c r="Y24" s="9"/>
      <c r="Z24" s="9"/>
      <c r="AA24" s="8"/>
    </row>
    <row r="25" spans="1:27" ht="94.5">
      <c r="A25" s="8" t="s">
        <v>53</v>
      </c>
      <c r="B25" s="29" t="s">
        <v>54</v>
      </c>
      <c r="C25" s="8" t="s">
        <v>81</v>
      </c>
      <c r="D25" s="8" t="s">
        <v>116</v>
      </c>
      <c r="E25" s="69" t="s">
        <v>117</v>
      </c>
      <c r="F25" s="8" t="s">
        <v>3710</v>
      </c>
      <c r="G25" s="8" t="s">
        <v>62</v>
      </c>
      <c r="H25" s="8" t="s">
        <v>113</v>
      </c>
      <c r="I25" s="9">
        <v>1</v>
      </c>
      <c r="J25" s="9" t="s">
        <v>1090</v>
      </c>
      <c r="K25" s="9" t="s">
        <v>3729</v>
      </c>
      <c r="L25" s="283"/>
      <c r="M25" s="9"/>
      <c r="N25" s="9"/>
      <c r="O25" s="281"/>
      <c r="P25" s="8"/>
      <c r="Q25" s="282"/>
      <c r="R25" s="37"/>
      <c r="S25" s="9"/>
      <c r="T25" s="9"/>
      <c r="U25" s="9"/>
      <c r="V25" s="9"/>
      <c r="W25" s="9"/>
      <c r="X25" s="9"/>
      <c r="Y25" s="9"/>
      <c r="Z25" s="9"/>
      <c r="AA25" s="8"/>
    </row>
    <row r="26" spans="1:27" ht="94.5">
      <c r="A26" s="8" t="s">
        <v>53</v>
      </c>
      <c r="B26" s="29" t="s">
        <v>54</v>
      </c>
      <c r="C26" s="8" t="s">
        <v>81</v>
      </c>
      <c r="D26" s="8" t="s">
        <v>118</v>
      </c>
      <c r="E26" s="69" t="s">
        <v>119</v>
      </c>
      <c r="F26" s="8" t="s">
        <v>3710</v>
      </c>
      <c r="G26" s="8" t="s">
        <v>62</v>
      </c>
      <c r="H26" s="8" t="s">
        <v>113</v>
      </c>
      <c r="I26" s="9">
        <v>1</v>
      </c>
      <c r="J26" s="9" t="s">
        <v>8</v>
      </c>
      <c r="K26" s="9"/>
      <c r="L26" s="283"/>
      <c r="M26" s="9"/>
      <c r="N26" s="9"/>
      <c r="O26" s="281"/>
      <c r="P26" s="8"/>
      <c r="Q26" s="282"/>
      <c r="R26" s="37"/>
      <c r="S26" s="9"/>
      <c r="T26" s="9"/>
      <c r="U26" s="9"/>
      <c r="V26" s="9"/>
      <c r="W26" s="9"/>
      <c r="X26" s="9"/>
      <c r="Y26" s="9"/>
      <c r="Z26" s="9"/>
      <c r="AA26" s="8"/>
    </row>
    <row r="27" spans="1:27" ht="94.5">
      <c r="A27" s="8" t="s">
        <v>53</v>
      </c>
      <c r="B27" s="29" t="s">
        <v>54</v>
      </c>
      <c r="C27" s="8" t="s">
        <v>81</v>
      </c>
      <c r="D27" s="8" t="s">
        <v>120</v>
      </c>
      <c r="E27" s="69" t="s">
        <v>121</v>
      </c>
      <c r="F27" s="8" t="s">
        <v>3710</v>
      </c>
      <c r="G27" s="8" t="s">
        <v>62</v>
      </c>
      <c r="H27" s="8" t="s">
        <v>113</v>
      </c>
      <c r="I27" s="9">
        <v>1</v>
      </c>
      <c r="J27" s="9" t="s">
        <v>1090</v>
      </c>
      <c r="K27" s="9" t="s">
        <v>3730</v>
      </c>
      <c r="L27" s="283"/>
      <c r="M27" s="9"/>
      <c r="N27" s="9"/>
      <c r="O27" s="281"/>
      <c r="P27" s="8"/>
      <c r="Q27" s="282"/>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283"/>
      <c r="M28" s="8"/>
      <c r="N28" s="8"/>
      <c r="O28" s="281"/>
      <c r="P28" s="8"/>
      <c r="Q28" s="132"/>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283"/>
      <c r="M29" s="8"/>
      <c r="N29" s="8"/>
      <c r="O29" s="281"/>
      <c r="P29" s="8"/>
      <c r="Q29" s="132"/>
      <c r="R29" s="38"/>
      <c r="S29" s="8"/>
      <c r="T29" s="8"/>
      <c r="U29" s="8"/>
      <c r="V29" s="8"/>
      <c r="W29" s="8"/>
      <c r="X29" s="8"/>
      <c r="Y29" s="8"/>
      <c r="Z29" s="8"/>
      <c r="AA29" s="8"/>
    </row>
    <row r="30" spans="1:27" ht="94.5">
      <c r="A30" s="8" t="s">
        <v>53</v>
      </c>
      <c r="B30" s="29" t="s">
        <v>54</v>
      </c>
      <c r="C30" s="8" t="s">
        <v>128</v>
      </c>
      <c r="D30" s="8" t="s">
        <v>129</v>
      </c>
      <c r="E30" s="563" t="s">
        <v>130</v>
      </c>
      <c r="F30" s="20"/>
      <c r="G30" s="564" t="s">
        <v>131</v>
      </c>
      <c r="H30" s="564"/>
      <c r="I30" s="565"/>
      <c r="J30" s="565"/>
      <c r="K30" s="564"/>
      <c r="L30" s="566"/>
      <c r="M30" s="565"/>
      <c r="N30" s="565"/>
      <c r="O30" s="567"/>
      <c r="P30" s="564"/>
      <c r="Q30" s="568"/>
      <c r="R30" s="569"/>
      <c r="S30" s="565"/>
      <c r="T30" s="565"/>
      <c r="U30" s="565"/>
      <c r="V30" s="565"/>
      <c r="W30" s="565"/>
      <c r="X30" s="565"/>
      <c r="Y30" s="565"/>
      <c r="Z30" s="565"/>
      <c r="AA30" s="564"/>
    </row>
    <row r="31" spans="1:27" ht="94.5">
      <c r="A31" s="8" t="s">
        <v>53</v>
      </c>
      <c r="B31" s="29" t="s">
        <v>54</v>
      </c>
      <c r="C31" s="8" t="s">
        <v>128</v>
      </c>
      <c r="D31" s="8" t="s">
        <v>132</v>
      </c>
      <c r="E31" s="69" t="s">
        <v>133</v>
      </c>
      <c r="F31" s="8" t="s">
        <v>3710</v>
      </c>
      <c r="G31" s="8" t="s">
        <v>131</v>
      </c>
      <c r="H31" s="8" t="s">
        <v>134</v>
      </c>
      <c r="I31" s="8" t="s">
        <v>135</v>
      </c>
      <c r="J31" s="8" t="s">
        <v>1191</v>
      </c>
      <c r="K31" s="8" t="s">
        <v>3731</v>
      </c>
      <c r="L31" s="283"/>
      <c r="M31" s="8" t="s">
        <v>10</v>
      </c>
      <c r="N31" s="8"/>
      <c r="O31" s="281"/>
      <c r="P31" s="8"/>
      <c r="Q31" s="132"/>
      <c r="R31" s="38"/>
      <c r="S31" s="8"/>
      <c r="T31" s="8"/>
      <c r="U31" s="8"/>
      <c r="V31" s="8"/>
      <c r="W31" s="8"/>
      <c r="X31" s="8"/>
      <c r="Y31" s="8"/>
      <c r="Z31" s="8"/>
      <c r="AA31" s="8"/>
    </row>
    <row r="32" spans="1:27" ht="126">
      <c r="A32" s="8" t="s">
        <v>53</v>
      </c>
      <c r="B32" s="29" t="s">
        <v>54</v>
      </c>
      <c r="C32" s="8" t="s">
        <v>128</v>
      </c>
      <c r="D32" s="8" t="s">
        <v>136</v>
      </c>
      <c r="E32" s="69" t="s">
        <v>137</v>
      </c>
      <c r="F32" s="8" t="s">
        <v>3710</v>
      </c>
      <c r="G32" s="8" t="s">
        <v>131</v>
      </c>
      <c r="H32" s="8" t="s">
        <v>138</v>
      </c>
      <c r="I32" s="8" t="s">
        <v>139</v>
      </c>
      <c r="J32" s="8" t="s">
        <v>1191</v>
      </c>
      <c r="K32" s="8" t="s">
        <v>3732</v>
      </c>
      <c r="L32" s="283"/>
      <c r="M32" s="8" t="s">
        <v>10</v>
      </c>
      <c r="N32" s="8"/>
      <c r="O32" s="281"/>
      <c r="P32" s="8"/>
      <c r="Q32" s="132"/>
      <c r="R32" s="38"/>
      <c r="S32" s="8"/>
      <c r="T32" s="8"/>
      <c r="U32" s="8"/>
      <c r="V32" s="8"/>
      <c r="W32" s="8"/>
      <c r="X32" s="8"/>
      <c r="Y32" s="8"/>
      <c r="Z32" s="8"/>
      <c r="AA32" s="8"/>
    </row>
    <row r="33" spans="1:27" ht="126">
      <c r="A33" s="8" t="s">
        <v>53</v>
      </c>
      <c r="B33" s="29" t="s">
        <v>54</v>
      </c>
      <c r="C33" s="8" t="s">
        <v>128</v>
      </c>
      <c r="D33" s="8" t="s">
        <v>140</v>
      </c>
      <c r="E33" s="69" t="s">
        <v>141</v>
      </c>
      <c r="F33" s="8" t="s">
        <v>3710</v>
      </c>
      <c r="G33" s="8" t="s">
        <v>131</v>
      </c>
      <c r="H33" s="8" t="s">
        <v>142</v>
      </c>
      <c r="I33" s="8" t="s">
        <v>143</v>
      </c>
      <c r="J33" s="8" t="s">
        <v>1191</v>
      </c>
      <c r="K33" s="8" t="s">
        <v>3733</v>
      </c>
      <c r="L33" s="283"/>
      <c r="M33" s="8" t="s">
        <v>10</v>
      </c>
      <c r="N33" s="8"/>
      <c r="O33" s="281"/>
      <c r="P33" s="8"/>
      <c r="Q33" s="132"/>
      <c r="R33" s="38"/>
      <c r="S33" s="8"/>
      <c r="T33" s="8"/>
      <c r="U33" s="8"/>
      <c r="V33" s="8"/>
      <c r="W33" s="8"/>
      <c r="X33" s="8"/>
      <c r="Y33" s="8"/>
      <c r="Z33" s="8"/>
      <c r="AA33" s="8"/>
    </row>
    <row r="34" spans="1:27" ht="31.5">
      <c r="A34" s="8" t="s">
        <v>53</v>
      </c>
      <c r="B34" s="29" t="s">
        <v>54</v>
      </c>
      <c r="C34" s="8" t="s">
        <v>128</v>
      </c>
      <c r="D34" s="8" t="s">
        <v>144</v>
      </c>
      <c r="E34" s="12" t="s">
        <v>145</v>
      </c>
      <c r="F34" s="20"/>
      <c r="G34" s="564" t="s">
        <v>131</v>
      </c>
      <c r="H34" s="564"/>
      <c r="I34" s="565"/>
      <c r="J34" s="565"/>
      <c r="K34" s="564"/>
      <c r="L34" s="566"/>
      <c r="M34" s="565"/>
      <c r="N34" s="565"/>
      <c r="O34" s="567"/>
      <c r="P34" s="564"/>
      <c r="Q34" s="568"/>
      <c r="R34" s="569"/>
      <c r="S34" s="565"/>
      <c r="T34" s="565"/>
      <c r="U34" s="565"/>
      <c r="V34" s="565"/>
      <c r="W34" s="565"/>
      <c r="X34" s="565"/>
      <c r="Y34" s="565"/>
      <c r="Z34" s="565"/>
      <c r="AA34" s="564"/>
    </row>
    <row r="35" spans="1:27" ht="173.25">
      <c r="A35" s="8" t="s">
        <v>53</v>
      </c>
      <c r="B35" s="29" t="s">
        <v>54</v>
      </c>
      <c r="C35" s="8" t="s">
        <v>128</v>
      </c>
      <c r="D35" s="8" t="s">
        <v>146</v>
      </c>
      <c r="E35" s="69" t="s">
        <v>147</v>
      </c>
      <c r="F35" s="8" t="s">
        <v>3710</v>
      </c>
      <c r="G35" s="8" t="s">
        <v>131</v>
      </c>
      <c r="H35" s="12" t="s">
        <v>148</v>
      </c>
      <c r="I35" s="8" t="s">
        <v>149</v>
      </c>
      <c r="J35" s="12" t="s">
        <v>1090</v>
      </c>
      <c r="K35" s="8" t="s">
        <v>3734</v>
      </c>
      <c r="L35" s="284"/>
      <c r="M35" s="12"/>
      <c r="N35" s="12"/>
      <c r="O35" s="285"/>
      <c r="P35" s="8"/>
      <c r="Q35" s="286"/>
      <c r="R35" s="40"/>
      <c r="S35" s="12"/>
      <c r="T35" s="12"/>
      <c r="U35" s="12"/>
      <c r="V35" s="12"/>
      <c r="W35" s="12"/>
      <c r="X35" s="12"/>
      <c r="Y35" s="12"/>
      <c r="Z35" s="12"/>
      <c r="AA35" s="8"/>
    </row>
    <row r="36" spans="1:27" ht="173.25">
      <c r="A36" s="8" t="s">
        <v>53</v>
      </c>
      <c r="B36" s="29" t="s">
        <v>54</v>
      </c>
      <c r="C36" s="8" t="s">
        <v>128</v>
      </c>
      <c r="D36" s="8" t="s">
        <v>150</v>
      </c>
      <c r="E36" s="69" t="s">
        <v>151</v>
      </c>
      <c r="F36" s="8" t="s">
        <v>3710</v>
      </c>
      <c r="G36" s="8" t="s">
        <v>131</v>
      </c>
      <c r="H36" s="12" t="s">
        <v>152</v>
      </c>
      <c r="I36" s="8" t="s">
        <v>153</v>
      </c>
      <c r="J36" s="8" t="s">
        <v>1090</v>
      </c>
      <c r="K36" s="8" t="s">
        <v>3734</v>
      </c>
      <c r="L36" s="283"/>
      <c r="M36" s="8"/>
      <c r="N36" s="8"/>
      <c r="O36" s="281"/>
      <c r="P36" s="8"/>
      <c r="Q36" s="132"/>
      <c r="R36" s="38"/>
      <c r="S36" s="8"/>
      <c r="T36" s="8"/>
      <c r="U36" s="8"/>
      <c r="V36" s="8"/>
      <c r="W36" s="8"/>
      <c r="X36" s="8"/>
      <c r="Y36" s="8"/>
      <c r="Z36" s="8"/>
      <c r="AA36" s="8"/>
    </row>
    <row r="37" spans="1:27" ht="63">
      <c r="A37" s="8" t="s">
        <v>53</v>
      </c>
      <c r="B37" s="29" t="s">
        <v>54</v>
      </c>
      <c r="C37" s="8" t="s">
        <v>128</v>
      </c>
      <c r="D37" s="8" t="s">
        <v>154</v>
      </c>
      <c r="E37" s="12" t="s">
        <v>155</v>
      </c>
      <c r="F37" s="20"/>
      <c r="G37" s="564" t="s">
        <v>131</v>
      </c>
      <c r="H37" s="564"/>
      <c r="I37" s="565"/>
      <c r="J37" s="565" t="s">
        <v>1191</v>
      </c>
      <c r="K37" s="497"/>
      <c r="L37" s="566"/>
      <c r="M37" s="565"/>
      <c r="N37" s="565"/>
      <c r="O37" s="567"/>
      <c r="P37" s="564"/>
      <c r="Q37" s="568"/>
      <c r="R37" s="569"/>
      <c r="S37" s="565"/>
      <c r="T37" s="565"/>
      <c r="U37" s="565"/>
      <c r="V37" s="565"/>
      <c r="W37" s="565"/>
      <c r="X37" s="565"/>
      <c r="Y37" s="565"/>
      <c r="Z37" s="565"/>
      <c r="AA37" s="564"/>
    </row>
    <row r="38" spans="1:27" ht="189">
      <c r="A38" s="8" t="s">
        <v>53</v>
      </c>
      <c r="B38" s="29" t="s">
        <v>54</v>
      </c>
      <c r="C38" s="8" t="s">
        <v>128</v>
      </c>
      <c r="D38" s="8" t="s">
        <v>156</v>
      </c>
      <c r="E38" s="69" t="s">
        <v>157</v>
      </c>
      <c r="F38" s="8" t="s">
        <v>3710</v>
      </c>
      <c r="G38" s="8" t="s">
        <v>131</v>
      </c>
      <c r="H38" s="12" t="s">
        <v>158</v>
      </c>
      <c r="I38" s="12" t="s">
        <v>110</v>
      </c>
      <c r="J38" s="12" t="s">
        <v>1191</v>
      </c>
      <c r="K38" s="12" t="s">
        <v>3735</v>
      </c>
      <c r="L38" s="284"/>
      <c r="M38" s="12" t="s">
        <v>10</v>
      </c>
      <c r="N38" s="12"/>
      <c r="O38" s="285"/>
      <c r="P38" s="8"/>
      <c r="Q38" s="286"/>
      <c r="R38" s="40"/>
      <c r="S38" s="12"/>
      <c r="T38" s="12"/>
      <c r="U38" s="12"/>
      <c r="V38" s="12"/>
      <c r="W38" s="12"/>
      <c r="X38" s="12"/>
      <c r="Y38" s="12"/>
      <c r="Z38" s="12"/>
      <c r="AA38" s="8"/>
    </row>
    <row r="39" spans="1:27" ht="189">
      <c r="A39" s="8" t="s">
        <v>53</v>
      </c>
      <c r="B39" s="29" t="s">
        <v>54</v>
      </c>
      <c r="C39" s="8" t="s">
        <v>128</v>
      </c>
      <c r="D39" s="8" t="s">
        <v>159</v>
      </c>
      <c r="E39" s="69" t="s">
        <v>160</v>
      </c>
      <c r="F39" s="8" t="s">
        <v>3710</v>
      </c>
      <c r="G39" s="8" t="s">
        <v>131</v>
      </c>
      <c r="H39" s="12" t="s">
        <v>161</v>
      </c>
      <c r="I39" s="12" t="s">
        <v>162</v>
      </c>
      <c r="J39" s="8" t="s">
        <v>1191</v>
      </c>
      <c r="K39" s="8" t="s">
        <v>3735</v>
      </c>
      <c r="L39" s="283"/>
      <c r="M39" s="8" t="s">
        <v>10</v>
      </c>
      <c r="N39" s="8"/>
      <c r="O39" s="281"/>
      <c r="P39" s="8"/>
      <c r="Q39" s="132"/>
      <c r="R39" s="38"/>
      <c r="S39" s="8"/>
      <c r="T39" s="8"/>
      <c r="U39" s="8"/>
      <c r="V39" s="8"/>
      <c r="W39" s="8"/>
      <c r="X39" s="8"/>
      <c r="Y39" s="8"/>
      <c r="Z39" s="8"/>
      <c r="AA39" s="8"/>
    </row>
    <row r="40" spans="1:27" ht="189">
      <c r="A40" s="8" t="s">
        <v>53</v>
      </c>
      <c r="B40" s="29" t="s">
        <v>54</v>
      </c>
      <c r="C40" s="8" t="s">
        <v>128</v>
      </c>
      <c r="D40" s="8" t="s">
        <v>163</v>
      </c>
      <c r="E40" s="69" t="s">
        <v>164</v>
      </c>
      <c r="F40" s="8" t="s">
        <v>3710</v>
      </c>
      <c r="G40" s="8" t="s">
        <v>131</v>
      </c>
      <c r="H40" s="12" t="s">
        <v>165</v>
      </c>
      <c r="I40" s="12" t="s">
        <v>166</v>
      </c>
      <c r="J40" s="12" t="s">
        <v>1191</v>
      </c>
      <c r="K40" s="12" t="s">
        <v>3735</v>
      </c>
      <c r="L40" s="284"/>
      <c r="M40" s="12" t="s">
        <v>10</v>
      </c>
      <c r="N40" s="12"/>
      <c r="O40" s="285"/>
      <c r="P40" s="8"/>
      <c r="Q40" s="286"/>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287"/>
      <c r="M41" s="13"/>
      <c r="N41" s="13"/>
      <c r="O41" s="288"/>
      <c r="P41" s="8"/>
      <c r="Q41" s="286"/>
      <c r="R41" s="41"/>
      <c r="S41" s="13"/>
      <c r="T41" s="13"/>
      <c r="U41" s="13"/>
      <c r="V41" s="13"/>
      <c r="W41" s="13"/>
      <c r="X41" s="13"/>
      <c r="Y41" s="13"/>
      <c r="Z41" s="13"/>
      <c r="AA41" s="8"/>
    </row>
    <row r="42" spans="1:27" ht="393.75">
      <c r="A42" s="8" t="s">
        <v>53</v>
      </c>
      <c r="B42" s="29" t="s">
        <v>54</v>
      </c>
      <c r="C42" s="8" t="s">
        <v>128</v>
      </c>
      <c r="D42" s="8" t="s">
        <v>170</v>
      </c>
      <c r="E42" s="12" t="s">
        <v>171</v>
      </c>
      <c r="F42" s="8" t="s">
        <v>3710</v>
      </c>
      <c r="G42" s="8" t="s">
        <v>62</v>
      </c>
      <c r="H42" s="12"/>
      <c r="I42" s="12"/>
      <c r="J42" s="12" t="s">
        <v>1191</v>
      </c>
      <c r="K42" s="13" t="s">
        <v>3736</v>
      </c>
      <c r="L42" s="287"/>
      <c r="M42" s="13" t="s">
        <v>9</v>
      </c>
      <c r="N42" s="8"/>
      <c r="O42" s="288"/>
      <c r="P42" s="8"/>
      <c r="Q42" s="286"/>
      <c r="R42" s="41"/>
      <c r="S42" s="13"/>
      <c r="T42" s="13"/>
      <c r="U42" s="13"/>
      <c r="V42" s="13"/>
      <c r="W42" s="13"/>
      <c r="X42" s="13"/>
      <c r="Y42" s="13"/>
      <c r="Z42" s="13"/>
      <c r="AA42" s="8"/>
    </row>
    <row r="43" spans="1:27" ht="94.5">
      <c r="A43" s="8" t="s">
        <v>53</v>
      </c>
      <c r="B43" s="29" t="s">
        <v>54</v>
      </c>
      <c r="C43" s="8" t="s">
        <v>128</v>
      </c>
      <c r="D43" s="8" t="s">
        <v>172</v>
      </c>
      <c r="E43" s="69" t="s">
        <v>173</v>
      </c>
      <c r="F43" s="8" t="s">
        <v>3710</v>
      </c>
      <c r="G43" s="8" t="s">
        <v>62</v>
      </c>
      <c r="H43" s="12" t="s">
        <v>174</v>
      </c>
      <c r="I43" s="12" t="s">
        <v>175</v>
      </c>
      <c r="J43" s="12" t="s">
        <v>1191</v>
      </c>
      <c r="K43" s="13" t="s">
        <v>3737</v>
      </c>
      <c r="L43" s="287"/>
      <c r="M43" s="13" t="s">
        <v>9</v>
      </c>
      <c r="N43" s="13"/>
      <c r="O43" s="288"/>
      <c r="P43" s="8"/>
      <c r="Q43" s="286"/>
      <c r="R43" s="41"/>
      <c r="S43" s="13"/>
      <c r="T43" s="13"/>
      <c r="U43" s="13"/>
      <c r="V43" s="13"/>
      <c r="W43" s="13"/>
      <c r="X43" s="13"/>
      <c r="Y43" s="13"/>
      <c r="Z43" s="13"/>
      <c r="AA43" s="8"/>
    </row>
    <row r="44" spans="1:27" ht="126">
      <c r="A44" s="8" t="s">
        <v>53</v>
      </c>
      <c r="B44" s="29" t="s">
        <v>54</v>
      </c>
      <c r="C44" s="8" t="s">
        <v>128</v>
      </c>
      <c r="D44" s="8" t="s">
        <v>176</v>
      </c>
      <c r="E44" s="69" t="s">
        <v>177</v>
      </c>
      <c r="F44" s="8" t="s">
        <v>3710</v>
      </c>
      <c r="G44" s="8" t="s">
        <v>62</v>
      </c>
      <c r="H44" s="12" t="s">
        <v>178</v>
      </c>
      <c r="I44" s="12" t="s">
        <v>179</v>
      </c>
      <c r="J44" s="8" t="s">
        <v>1090</v>
      </c>
      <c r="K44" s="14" t="s">
        <v>3738</v>
      </c>
      <c r="L44" s="289"/>
      <c r="M44" s="14"/>
      <c r="N44" s="13"/>
      <c r="O44" s="290"/>
      <c r="P44" s="8"/>
      <c r="Q44" s="132"/>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287"/>
      <c r="M45" s="16"/>
      <c r="N45" s="16"/>
      <c r="O45" s="288"/>
      <c r="P45" s="8"/>
      <c r="Q45" s="291"/>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287"/>
      <c r="M46" s="16"/>
      <c r="N46" s="16"/>
      <c r="O46" s="288"/>
      <c r="P46" s="8"/>
      <c r="Q46" s="291"/>
      <c r="R46" s="43"/>
      <c r="S46" s="16"/>
      <c r="T46" s="16"/>
      <c r="U46" s="16"/>
      <c r="V46" s="16"/>
      <c r="W46" s="16"/>
      <c r="X46" s="16"/>
      <c r="Y46" s="16"/>
      <c r="Z46" s="16"/>
      <c r="AA46" s="8"/>
    </row>
    <row r="47" spans="1:27" ht="110.25">
      <c r="A47" s="8" t="s">
        <v>53</v>
      </c>
      <c r="B47" s="29" t="s">
        <v>54</v>
      </c>
      <c r="C47" s="8" t="s">
        <v>128</v>
      </c>
      <c r="D47" s="8" t="s">
        <v>185</v>
      </c>
      <c r="E47" s="12" t="s">
        <v>186</v>
      </c>
      <c r="F47" s="8" t="s">
        <v>3710</v>
      </c>
      <c r="G47" s="8" t="s">
        <v>62</v>
      </c>
      <c r="H47" s="12" t="s">
        <v>187</v>
      </c>
      <c r="I47" s="8" t="s">
        <v>188</v>
      </c>
      <c r="J47" s="12" t="s">
        <v>1191</v>
      </c>
      <c r="K47" s="13" t="s">
        <v>3739</v>
      </c>
      <c r="L47" s="287"/>
      <c r="M47" s="13" t="s">
        <v>9</v>
      </c>
      <c r="N47" s="13"/>
      <c r="O47" s="288"/>
      <c r="P47" s="8"/>
      <c r="Q47" s="286"/>
      <c r="R47" s="41"/>
      <c r="S47" s="13"/>
      <c r="T47" s="13"/>
      <c r="U47" s="13"/>
      <c r="V47" s="13"/>
      <c r="W47" s="13"/>
      <c r="X47" s="13"/>
      <c r="Y47" s="13"/>
      <c r="Z47" s="13"/>
      <c r="AA47" s="8"/>
    </row>
    <row r="48" spans="1:27" ht="94.5">
      <c r="A48" s="8" t="s">
        <v>53</v>
      </c>
      <c r="B48" s="29" t="s">
        <v>54</v>
      </c>
      <c r="C48" s="8" t="s">
        <v>128</v>
      </c>
      <c r="D48" s="8" t="s">
        <v>189</v>
      </c>
      <c r="E48" s="12" t="s">
        <v>190</v>
      </c>
      <c r="F48" s="8" t="s">
        <v>3710</v>
      </c>
      <c r="G48" s="8" t="s">
        <v>62</v>
      </c>
      <c r="H48" s="12" t="s">
        <v>191</v>
      </c>
      <c r="I48" s="12" t="s">
        <v>192</v>
      </c>
      <c r="J48" s="12" t="s">
        <v>1191</v>
      </c>
      <c r="K48" s="13" t="s">
        <v>3740</v>
      </c>
      <c r="L48" s="287"/>
      <c r="M48" s="13" t="s">
        <v>9</v>
      </c>
      <c r="N48" s="13"/>
      <c r="O48" s="288"/>
      <c r="P48" s="8"/>
      <c r="Q48" s="286"/>
      <c r="R48" s="41"/>
      <c r="S48" s="13"/>
      <c r="T48" s="13"/>
      <c r="U48" s="13"/>
      <c r="V48" s="13"/>
      <c r="W48" s="13"/>
      <c r="X48" s="13"/>
      <c r="Y48" s="13"/>
      <c r="Z48" s="13"/>
      <c r="AA48" s="8"/>
    </row>
    <row r="49" spans="1:27" ht="94.5">
      <c r="A49" s="8" t="s">
        <v>53</v>
      </c>
      <c r="B49" s="29" t="s">
        <v>54</v>
      </c>
      <c r="C49" s="8" t="s">
        <v>128</v>
      </c>
      <c r="D49" s="8" t="s">
        <v>193</v>
      </c>
      <c r="E49" s="12" t="s">
        <v>190</v>
      </c>
      <c r="F49" s="8" t="s">
        <v>3710</v>
      </c>
      <c r="G49" s="8" t="s">
        <v>62</v>
      </c>
      <c r="H49" s="12" t="s">
        <v>194</v>
      </c>
      <c r="I49" s="12" t="s">
        <v>135</v>
      </c>
      <c r="J49" s="8" t="s">
        <v>8</v>
      </c>
      <c r="K49" s="14" t="s">
        <v>3741</v>
      </c>
      <c r="L49" s="289"/>
      <c r="M49" s="14" t="s">
        <v>9</v>
      </c>
      <c r="N49" s="13"/>
      <c r="O49" s="290"/>
      <c r="P49" s="8"/>
      <c r="Q49" s="132"/>
      <c r="R49" s="42"/>
      <c r="S49" s="14"/>
      <c r="T49" s="14"/>
      <c r="U49" s="14"/>
      <c r="V49" s="14"/>
      <c r="W49" s="14"/>
      <c r="X49" s="14"/>
      <c r="Y49" s="14"/>
      <c r="Z49" s="14"/>
      <c r="AA49" s="8"/>
    </row>
    <row r="50" spans="1:27" ht="110.25">
      <c r="A50" s="8" t="s">
        <v>53</v>
      </c>
      <c r="B50" s="29" t="s">
        <v>195</v>
      </c>
      <c r="C50" s="8" t="s">
        <v>196</v>
      </c>
      <c r="D50" s="8" t="s">
        <v>197</v>
      </c>
      <c r="E50" s="8" t="s">
        <v>198</v>
      </c>
      <c r="F50" s="20"/>
      <c r="G50" s="564" t="s">
        <v>62</v>
      </c>
      <c r="H50" s="564"/>
      <c r="I50" s="565"/>
      <c r="J50" s="565" t="s">
        <v>1191</v>
      </c>
      <c r="K50" s="564"/>
      <c r="L50" s="566"/>
      <c r="M50" s="565"/>
      <c r="N50" s="565"/>
      <c r="O50" s="567"/>
      <c r="P50" s="564"/>
      <c r="Q50" s="568"/>
      <c r="R50" s="569"/>
      <c r="S50" s="565"/>
      <c r="T50" s="565"/>
      <c r="U50" s="565"/>
      <c r="V50" s="565"/>
      <c r="W50" s="565"/>
      <c r="X50" s="565"/>
      <c r="Y50" s="565"/>
      <c r="Z50" s="565"/>
      <c r="AA50" s="564"/>
    </row>
    <row r="51" spans="1:27" ht="283.5">
      <c r="A51" s="8" t="s">
        <v>53</v>
      </c>
      <c r="B51" s="29" t="s">
        <v>195</v>
      </c>
      <c r="C51" s="8" t="s">
        <v>196</v>
      </c>
      <c r="D51" s="8" t="s">
        <v>199</v>
      </c>
      <c r="E51" s="69" t="s">
        <v>200</v>
      </c>
      <c r="F51" s="8" t="s">
        <v>3708</v>
      </c>
      <c r="G51" s="8" t="s">
        <v>62</v>
      </c>
      <c r="H51" s="8" t="s">
        <v>201</v>
      </c>
      <c r="I51" s="15">
        <v>1</v>
      </c>
      <c r="J51" s="9" t="s">
        <v>1090</v>
      </c>
      <c r="K51" s="9" t="s">
        <v>3727</v>
      </c>
      <c r="L51" s="283"/>
      <c r="M51" s="9"/>
      <c r="N51" s="9"/>
      <c r="O51" s="281"/>
      <c r="P51" s="8"/>
      <c r="Q51" s="282"/>
      <c r="R51" s="37"/>
      <c r="S51" s="9"/>
      <c r="T51" s="9"/>
      <c r="U51" s="9"/>
      <c r="V51" s="9"/>
      <c r="W51" s="9"/>
      <c r="X51" s="9"/>
      <c r="Y51" s="9"/>
      <c r="Z51" s="9"/>
      <c r="AA51" s="8"/>
    </row>
    <row r="52" spans="1:27" ht="34.5" customHeight="1">
      <c r="A52" s="8" t="s">
        <v>53</v>
      </c>
      <c r="B52" s="29" t="s">
        <v>195</v>
      </c>
      <c r="C52" s="8" t="s">
        <v>196</v>
      </c>
      <c r="D52" s="8" t="s">
        <v>202</v>
      </c>
      <c r="E52" s="69" t="s">
        <v>203</v>
      </c>
      <c r="F52" s="8" t="s">
        <v>3708</v>
      </c>
      <c r="G52" s="8" t="s">
        <v>62</v>
      </c>
      <c r="H52" s="8" t="s">
        <v>204</v>
      </c>
      <c r="I52" s="15">
        <v>1</v>
      </c>
      <c r="J52" s="8" t="s">
        <v>1090</v>
      </c>
      <c r="K52" s="9" t="s">
        <v>3727</v>
      </c>
      <c r="L52" s="283"/>
      <c r="M52" s="8"/>
      <c r="N52" s="8"/>
      <c r="O52" s="281"/>
      <c r="P52" s="8"/>
      <c r="Q52" s="132"/>
      <c r="R52" s="38"/>
      <c r="S52" s="8"/>
      <c r="T52" s="8"/>
      <c r="U52" s="8"/>
      <c r="V52" s="8"/>
      <c r="W52" s="8"/>
      <c r="X52" s="8"/>
      <c r="Y52" s="8"/>
      <c r="Z52" s="8"/>
      <c r="AA52" s="8"/>
    </row>
    <row r="53" spans="1:27" ht="141.75">
      <c r="A53" s="8" t="s">
        <v>53</v>
      </c>
      <c r="B53" s="29" t="s">
        <v>195</v>
      </c>
      <c r="C53" s="8" t="s">
        <v>196</v>
      </c>
      <c r="D53" s="8" t="s">
        <v>205</v>
      </c>
      <c r="E53" s="8" t="s">
        <v>206</v>
      </c>
      <c r="F53" s="20" t="s">
        <v>3708</v>
      </c>
      <c r="G53" s="564" t="s">
        <v>62</v>
      </c>
      <c r="H53" s="564"/>
      <c r="I53" s="565"/>
      <c r="J53" s="565"/>
      <c r="K53" s="564"/>
      <c r="L53" s="566"/>
      <c r="M53" s="565"/>
      <c r="N53" s="565"/>
      <c r="O53" s="567"/>
      <c r="P53" s="564"/>
      <c r="Q53" s="568"/>
      <c r="R53" s="569"/>
      <c r="S53" s="565"/>
      <c r="T53" s="565"/>
      <c r="U53" s="565"/>
      <c r="V53" s="565"/>
      <c r="W53" s="565"/>
      <c r="X53" s="565"/>
      <c r="Y53" s="565"/>
      <c r="Z53" s="565"/>
      <c r="AA53" s="564"/>
    </row>
    <row r="54" spans="1:27" ht="141.75">
      <c r="A54" s="8" t="s">
        <v>53</v>
      </c>
      <c r="B54" s="29" t="s">
        <v>195</v>
      </c>
      <c r="C54" s="8" t="s">
        <v>196</v>
      </c>
      <c r="D54" s="8" t="s">
        <v>207</v>
      </c>
      <c r="E54" s="69" t="s">
        <v>208</v>
      </c>
      <c r="F54" s="8" t="s">
        <v>3708</v>
      </c>
      <c r="G54" s="8" t="s">
        <v>62</v>
      </c>
      <c r="H54" s="8" t="s">
        <v>209</v>
      </c>
      <c r="I54" s="8" t="s">
        <v>210</v>
      </c>
      <c r="J54" s="8" t="s">
        <v>8</v>
      </c>
      <c r="K54" s="564" t="s">
        <v>3742</v>
      </c>
      <c r="L54" s="283"/>
      <c r="M54" s="8" t="s">
        <v>11</v>
      </c>
      <c r="N54" s="8"/>
      <c r="O54" s="281"/>
      <c r="P54" s="8"/>
      <c r="Q54" s="132"/>
      <c r="R54" s="38"/>
      <c r="S54" s="8"/>
      <c r="T54" s="8"/>
      <c r="U54" s="8"/>
      <c r="V54" s="8"/>
      <c r="W54" s="8"/>
      <c r="X54" s="8"/>
      <c r="Y54" s="8"/>
      <c r="Z54" s="8"/>
      <c r="AA54" s="8"/>
    </row>
    <row r="55" spans="1:27" ht="157.5">
      <c r="A55" s="8" t="s">
        <v>53</v>
      </c>
      <c r="B55" s="29" t="s">
        <v>195</v>
      </c>
      <c r="C55" s="8" t="s">
        <v>196</v>
      </c>
      <c r="D55" s="8" t="s">
        <v>211</v>
      </c>
      <c r="E55" s="69" t="s">
        <v>212</v>
      </c>
      <c r="F55" s="8" t="s">
        <v>3743</v>
      </c>
      <c r="G55" s="8" t="s">
        <v>62</v>
      </c>
      <c r="H55" s="8" t="s">
        <v>213</v>
      </c>
      <c r="I55" s="8" t="s">
        <v>214</v>
      </c>
      <c r="J55" s="8" t="s">
        <v>8</v>
      </c>
      <c r="K55" s="564" t="s">
        <v>3742</v>
      </c>
      <c r="L55" s="283"/>
      <c r="M55" s="8" t="s">
        <v>11</v>
      </c>
      <c r="N55" s="8"/>
      <c r="O55" s="281"/>
      <c r="P55" s="8"/>
      <c r="Q55" s="132"/>
      <c r="R55" s="38"/>
      <c r="S55" s="8"/>
      <c r="T55" s="8"/>
      <c r="U55" s="8"/>
      <c r="V55" s="8"/>
      <c r="W55" s="8"/>
      <c r="X55" s="8"/>
      <c r="Y55" s="8"/>
      <c r="Z55" s="8"/>
      <c r="AA55" s="8"/>
    </row>
    <row r="56" spans="1:27" ht="94.5">
      <c r="A56" s="8" t="s">
        <v>53</v>
      </c>
      <c r="B56" s="29" t="s">
        <v>195</v>
      </c>
      <c r="C56" s="8" t="s">
        <v>196</v>
      </c>
      <c r="D56" s="8" t="s">
        <v>215</v>
      </c>
      <c r="E56" s="8" t="s">
        <v>216</v>
      </c>
      <c r="F56" s="8" t="s">
        <v>3710</v>
      </c>
      <c r="G56" s="8" t="s">
        <v>62</v>
      </c>
      <c r="H56" s="8" t="s">
        <v>217</v>
      </c>
      <c r="I56" s="8" t="s">
        <v>214</v>
      </c>
      <c r="J56" s="8" t="s">
        <v>8</v>
      </c>
      <c r="K56" s="564" t="s">
        <v>3742</v>
      </c>
      <c r="L56" s="283"/>
      <c r="M56" s="8" t="s">
        <v>11</v>
      </c>
      <c r="N56" s="8"/>
      <c r="O56" s="281"/>
      <c r="P56" s="8"/>
      <c r="Q56" s="132"/>
      <c r="R56" s="38"/>
      <c r="S56" s="8"/>
      <c r="T56" s="8"/>
      <c r="U56" s="8"/>
      <c r="V56" s="8"/>
      <c r="W56" s="8"/>
      <c r="X56" s="8"/>
      <c r="Y56" s="8"/>
      <c r="Z56" s="8"/>
      <c r="AA56" s="8"/>
    </row>
    <row r="57" spans="1:27" ht="141.75">
      <c r="A57" s="8" t="s">
        <v>53</v>
      </c>
      <c r="B57" s="29" t="s">
        <v>195</v>
      </c>
      <c r="C57" s="8" t="s">
        <v>196</v>
      </c>
      <c r="D57" s="8" t="s">
        <v>218</v>
      </c>
      <c r="E57" s="8" t="s">
        <v>219</v>
      </c>
      <c r="F57" s="8" t="s">
        <v>3708</v>
      </c>
      <c r="G57" s="8" t="s">
        <v>62</v>
      </c>
      <c r="H57" s="8" t="s">
        <v>220</v>
      </c>
      <c r="I57" s="8" t="s">
        <v>221</v>
      </c>
      <c r="J57" s="8" t="s">
        <v>8</v>
      </c>
      <c r="K57" s="8"/>
      <c r="L57" s="283"/>
      <c r="M57" s="8"/>
      <c r="N57" s="8"/>
      <c r="O57" s="281"/>
      <c r="P57" s="8"/>
      <c r="Q57" s="132"/>
      <c r="R57" s="38"/>
      <c r="S57" s="8"/>
      <c r="T57" s="8"/>
      <c r="U57" s="8"/>
      <c r="V57" s="8"/>
      <c r="W57" s="8"/>
      <c r="X57" s="8"/>
      <c r="Y57" s="8"/>
      <c r="Z57" s="8"/>
      <c r="AA57" s="8"/>
    </row>
    <row r="58" spans="1:27" ht="63">
      <c r="A58" s="8" t="s">
        <v>53</v>
      </c>
      <c r="B58" s="29" t="s">
        <v>195</v>
      </c>
      <c r="C58" s="8" t="s">
        <v>222</v>
      </c>
      <c r="D58" s="8" t="s">
        <v>223</v>
      </c>
      <c r="E58" s="8" t="s">
        <v>224</v>
      </c>
      <c r="F58" s="20"/>
      <c r="G58" s="564" t="s">
        <v>62</v>
      </c>
      <c r="H58" s="564" t="s">
        <v>225</v>
      </c>
      <c r="I58" s="565" t="s">
        <v>226</v>
      </c>
      <c r="J58" s="565"/>
      <c r="K58" s="564"/>
      <c r="L58" s="566"/>
      <c r="M58" s="565"/>
      <c r="N58" s="565"/>
      <c r="O58" s="567"/>
      <c r="P58" s="564"/>
      <c r="Q58" s="568"/>
      <c r="R58" s="569"/>
      <c r="S58" s="565"/>
      <c r="T58" s="565"/>
      <c r="U58" s="565"/>
      <c r="V58" s="565"/>
      <c r="W58" s="565"/>
      <c r="X58" s="565"/>
      <c r="Y58" s="565"/>
      <c r="Z58" s="565"/>
      <c r="AA58" s="564"/>
    </row>
    <row r="59" spans="1:27" ht="252">
      <c r="A59" s="8" t="s">
        <v>53</v>
      </c>
      <c r="B59" s="29" t="s">
        <v>195</v>
      </c>
      <c r="C59" s="8" t="s">
        <v>222</v>
      </c>
      <c r="D59" s="8" t="s">
        <v>227</v>
      </c>
      <c r="E59" s="69" t="s">
        <v>228</v>
      </c>
      <c r="F59" s="8" t="s">
        <v>3708</v>
      </c>
      <c r="G59" s="8" t="s">
        <v>62</v>
      </c>
      <c r="H59" s="8" t="s">
        <v>229</v>
      </c>
      <c r="I59" s="8" t="s">
        <v>226</v>
      </c>
      <c r="J59" s="8" t="s">
        <v>1090</v>
      </c>
      <c r="K59" s="8" t="s">
        <v>3744</v>
      </c>
      <c r="L59" s="283"/>
      <c r="M59" s="8"/>
      <c r="N59" s="8"/>
      <c r="O59" s="281"/>
      <c r="P59" s="8"/>
      <c r="Q59" s="132"/>
      <c r="R59" s="38"/>
      <c r="S59" s="8"/>
      <c r="T59" s="8"/>
      <c r="U59" s="8"/>
      <c r="V59" s="8"/>
      <c r="W59" s="8"/>
      <c r="X59" s="8"/>
      <c r="Y59" s="8"/>
      <c r="Z59" s="8"/>
      <c r="AA59" s="8"/>
    </row>
    <row r="60" spans="1:27" ht="79.5" customHeight="1">
      <c r="A60" s="8" t="s">
        <v>53</v>
      </c>
      <c r="B60" s="29" t="s">
        <v>195</v>
      </c>
      <c r="C60" s="8" t="s">
        <v>222</v>
      </c>
      <c r="D60" s="8" t="s">
        <v>230</v>
      </c>
      <c r="E60" s="69" t="s">
        <v>231</v>
      </c>
      <c r="F60" s="8" t="s">
        <v>3710</v>
      </c>
      <c r="G60" s="8" t="s">
        <v>62</v>
      </c>
      <c r="H60" s="8" t="s">
        <v>232</v>
      </c>
      <c r="I60" s="8" t="s">
        <v>226</v>
      </c>
      <c r="J60" s="8" t="s">
        <v>1090</v>
      </c>
      <c r="K60" s="8" t="s">
        <v>3745</v>
      </c>
      <c r="L60" s="283"/>
      <c r="M60" s="8"/>
      <c r="N60" s="8"/>
      <c r="O60" s="281"/>
      <c r="P60" s="8"/>
      <c r="Q60" s="132"/>
      <c r="R60" s="38"/>
      <c r="S60" s="8"/>
      <c r="T60" s="8"/>
      <c r="U60" s="8"/>
      <c r="V60" s="8"/>
      <c r="W60" s="8"/>
      <c r="X60" s="8"/>
      <c r="Y60" s="8"/>
      <c r="Z60" s="8"/>
      <c r="AA60" s="8"/>
    </row>
    <row r="61" spans="1:27" ht="141.75">
      <c r="A61" s="8" t="s">
        <v>53</v>
      </c>
      <c r="B61" s="29" t="s">
        <v>195</v>
      </c>
      <c r="C61" s="8" t="s">
        <v>222</v>
      </c>
      <c r="D61" s="8" t="s">
        <v>233</v>
      </c>
      <c r="E61" s="69" t="s">
        <v>234</v>
      </c>
      <c r="F61" s="8" t="s">
        <v>3710</v>
      </c>
      <c r="G61" s="8" t="s">
        <v>62</v>
      </c>
      <c r="H61" s="8" t="s">
        <v>235</v>
      </c>
      <c r="I61" s="8" t="s">
        <v>226</v>
      </c>
      <c r="J61" s="8" t="s">
        <v>1090</v>
      </c>
      <c r="K61" s="8" t="s">
        <v>3746</v>
      </c>
      <c r="L61" s="283"/>
      <c r="M61" s="8"/>
      <c r="N61" s="13"/>
      <c r="O61" s="281"/>
      <c r="P61" s="8"/>
      <c r="Q61" s="132"/>
      <c r="R61" s="38"/>
      <c r="S61" s="8"/>
      <c r="T61" s="8"/>
      <c r="U61" s="8"/>
      <c r="V61" s="8"/>
      <c r="W61" s="8"/>
      <c r="X61" s="8"/>
      <c r="Y61" s="8"/>
      <c r="Z61" s="8"/>
      <c r="AA61" s="8"/>
    </row>
    <row r="62" spans="1:27" ht="378">
      <c r="A62" s="8" t="s">
        <v>53</v>
      </c>
      <c r="B62" s="29" t="s">
        <v>195</v>
      </c>
      <c r="C62" s="8" t="s">
        <v>222</v>
      </c>
      <c r="D62" s="8" t="s">
        <v>236</v>
      </c>
      <c r="E62" s="69" t="s">
        <v>237</v>
      </c>
      <c r="F62" s="8" t="s">
        <v>3708</v>
      </c>
      <c r="G62" s="8" t="s">
        <v>62</v>
      </c>
      <c r="H62" s="8" t="s">
        <v>238</v>
      </c>
      <c r="I62" s="8" t="s">
        <v>226</v>
      </c>
      <c r="J62" s="8" t="s">
        <v>1090</v>
      </c>
      <c r="K62" s="8" t="s">
        <v>3747</v>
      </c>
      <c r="L62" s="283"/>
      <c r="M62" s="8"/>
      <c r="N62" s="13"/>
      <c r="O62" s="281"/>
      <c r="P62" s="8"/>
      <c r="Q62" s="132"/>
      <c r="R62" s="38"/>
      <c r="S62" s="8"/>
      <c r="T62" s="8"/>
      <c r="U62" s="8"/>
      <c r="V62" s="8"/>
      <c r="W62" s="8"/>
      <c r="X62" s="8"/>
      <c r="Y62" s="8"/>
      <c r="Z62" s="8"/>
      <c r="AA62" s="8"/>
    </row>
    <row r="63" spans="1:27" ht="252">
      <c r="A63" s="8" t="s">
        <v>53</v>
      </c>
      <c r="B63" s="29" t="s">
        <v>195</v>
      </c>
      <c r="C63" s="8" t="s">
        <v>222</v>
      </c>
      <c r="D63" s="8" t="s">
        <v>239</v>
      </c>
      <c r="E63" s="69" t="s">
        <v>240</v>
      </c>
      <c r="F63" s="8" t="s">
        <v>3708</v>
      </c>
      <c r="G63" s="8" t="s">
        <v>62</v>
      </c>
      <c r="H63" s="8" t="s">
        <v>241</v>
      </c>
      <c r="I63" s="8" t="s">
        <v>226</v>
      </c>
      <c r="J63" s="8" t="s">
        <v>1090</v>
      </c>
      <c r="K63" s="8" t="s">
        <v>3748</v>
      </c>
      <c r="L63" s="283"/>
      <c r="M63" s="8" t="s">
        <v>11</v>
      </c>
      <c r="N63" s="13"/>
      <c r="O63" s="281"/>
      <c r="P63" s="8"/>
      <c r="Q63" s="132"/>
      <c r="R63" s="38"/>
      <c r="S63" s="8"/>
      <c r="T63" s="8"/>
      <c r="U63" s="8"/>
      <c r="V63" s="8"/>
      <c r="W63" s="8"/>
      <c r="X63" s="8"/>
      <c r="Y63" s="8"/>
      <c r="Z63" s="8"/>
      <c r="AA63" s="8"/>
    </row>
    <row r="64" spans="1:27" ht="141.75">
      <c r="A64" s="8" t="s">
        <v>53</v>
      </c>
      <c r="B64" s="29" t="s">
        <v>195</v>
      </c>
      <c r="C64" s="8" t="s">
        <v>222</v>
      </c>
      <c r="D64" s="8" t="s">
        <v>242</v>
      </c>
      <c r="E64" s="69" t="s">
        <v>243</v>
      </c>
      <c r="F64" s="8" t="s">
        <v>3708</v>
      </c>
      <c r="G64" s="8" t="s">
        <v>62</v>
      </c>
      <c r="H64" s="8" t="s">
        <v>244</v>
      </c>
      <c r="I64" s="8" t="s">
        <v>226</v>
      </c>
      <c r="J64" s="8" t="s">
        <v>1090</v>
      </c>
      <c r="K64" s="8" t="s">
        <v>3749</v>
      </c>
      <c r="L64" s="283"/>
      <c r="M64" s="8"/>
      <c r="N64" s="13"/>
      <c r="O64" s="281"/>
      <c r="P64" s="8"/>
      <c r="Q64" s="132"/>
      <c r="R64" s="38"/>
      <c r="S64" s="8"/>
      <c r="T64" s="8"/>
      <c r="U64" s="8"/>
      <c r="V64" s="8"/>
      <c r="W64" s="8"/>
      <c r="X64" s="8"/>
      <c r="Y64" s="8"/>
      <c r="Z64" s="8"/>
      <c r="AA64" s="8"/>
    </row>
    <row r="65" spans="1:27" ht="378">
      <c r="A65" s="8" t="s">
        <v>53</v>
      </c>
      <c r="B65" s="29" t="s">
        <v>195</v>
      </c>
      <c r="C65" s="8" t="s">
        <v>222</v>
      </c>
      <c r="D65" s="8" t="s">
        <v>245</v>
      </c>
      <c r="E65" s="69" t="s">
        <v>246</v>
      </c>
      <c r="F65" s="8" t="s">
        <v>3708</v>
      </c>
      <c r="G65" s="8" t="s">
        <v>62</v>
      </c>
      <c r="H65" s="8" t="s">
        <v>247</v>
      </c>
      <c r="I65" s="8" t="s">
        <v>226</v>
      </c>
      <c r="J65" s="8" t="s">
        <v>1090</v>
      </c>
      <c r="K65" s="8" t="s">
        <v>3750</v>
      </c>
      <c r="L65" s="283"/>
      <c r="M65" s="8"/>
      <c r="N65" s="13"/>
      <c r="O65" s="281"/>
      <c r="P65" s="8"/>
      <c r="Q65" s="132"/>
      <c r="R65" s="38"/>
      <c r="S65" s="8"/>
      <c r="T65" s="8"/>
      <c r="U65" s="8"/>
      <c r="V65" s="8"/>
      <c r="W65" s="8"/>
      <c r="X65" s="8"/>
      <c r="Y65" s="8"/>
      <c r="Z65" s="8"/>
      <c r="AA65" s="8"/>
    </row>
    <row r="66" spans="1:27" ht="252">
      <c r="A66" s="8" t="s">
        <v>53</v>
      </c>
      <c r="B66" s="29" t="s">
        <v>195</v>
      </c>
      <c r="C66" s="8" t="s">
        <v>222</v>
      </c>
      <c r="D66" s="8" t="s">
        <v>248</v>
      </c>
      <c r="E66" s="69" t="s">
        <v>249</v>
      </c>
      <c r="F66" s="8" t="s">
        <v>3708</v>
      </c>
      <c r="G66" s="8" t="s">
        <v>62</v>
      </c>
      <c r="H66" s="8" t="s">
        <v>250</v>
      </c>
      <c r="I66" s="8" t="s">
        <v>226</v>
      </c>
      <c r="J66" s="8" t="s">
        <v>1090</v>
      </c>
      <c r="K66" s="8" t="s">
        <v>3751</v>
      </c>
      <c r="L66" s="283"/>
      <c r="M66" s="8" t="s">
        <v>11</v>
      </c>
      <c r="N66" s="13"/>
      <c r="O66" s="281"/>
      <c r="P66" s="8"/>
      <c r="Q66" s="132"/>
      <c r="R66" s="38"/>
      <c r="S66" s="8"/>
      <c r="T66" s="8"/>
      <c r="U66" s="8"/>
      <c r="V66" s="8"/>
      <c r="W66" s="8"/>
      <c r="X66" s="8"/>
      <c r="Y66" s="8"/>
      <c r="Z66" s="8"/>
      <c r="AA66" s="8"/>
    </row>
    <row r="67" spans="1:27" ht="82.5" customHeight="1">
      <c r="A67" s="8" t="s">
        <v>53</v>
      </c>
      <c r="B67" s="29" t="s">
        <v>195</v>
      </c>
      <c r="C67" s="8" t="s">
        <v>251</v>
      </c>
      <c r="D67" s="8" t="s">
        <v>252</v>
      </c>
      <c r="E67" s="8" t="s">
        <v>253</v>
      </c>
      <c r="F67" s="8" t="s">
        <v>3710</v>
      </c>
      <c r="G67" s="8" t="s">
        <v>62</v>
      </c>
      <c r="H67" s="8" t="s">
        <v>254</v>
      </c>
      <c r="I67" s="8" t="s">
        <v>255</v>
      </c>
      <c r="J67" s="8" t="s">
        <v>1191</v>
      </c>
      <c r="K67" s="8" t="s">
        <v>3752</v>
      </c>
      <c r="L67" s="283"/>
      <c r="M67" s="8" t="s">
        <v>11</v>
      </c>
      <c r="N67" s="8"/>
      <c r="O67" s="281"/>
      <c r="P67" s="8"/>
      <c r="Q67" s="132"/>
      <c r="R67" s="38"/>
      <c r="S67" s="8"/>
      <c r="T67" s="8"/>
      <c r="U67" s="8"/>
      <c r="V67" s="8"/>
      <c r="W67" s="8"/>
      <c r="X67" s="8"/>
      <c r="Y67" s="8"/>
      <c r="Z67" s="8"/>
      <c r="AA67" s="8"/>
    </row>
    <row r="68" spans="1:27" ht="141.75">
      <c r="A68" s="8" t="s">
        <v>53</v>
      </c>
      <c r="B68" s="29" t="s">
        <v>195</v>
      </c>
      <c r="C68" s="8" t="s">
        <v>256</v>
      </c>
      <c r="D68" s="8" t="s">
        <v>257</v>
      </c>
      <c r="E68" s="8" t="s">
        <v>258</v>
      </c>
      <c r="F68" s="8" t="s">
        <v>3708</v>
      </c>
      <c r="G68" s="8" t="s">
        <v>62</v>
      </c>
      <c r="H68" s="8" t="s">
        <v>259</v>
      </c>
      <c r="I68" s="8" t="s">
        <v>260</v>
      </c>
      <c r="J68" s="8" t="s">
        <v>1090</v>
      </c>
      <c r="K68" s="8" t="s">
        <v>3753</v>
      </c>
      <c r="L68" s="283"/>
      <c r="M68" s="8"/>
      <c r="N68" s="8"/>
      <c r="O68" s="281"/>
      <c r="P68" s="8"/>
      <c r="Q68" s="132"/>
      <c r="R68" s="38"/>
      <c r="S68" s="8"/>
      <c r="T68" s="8"/>
      <c r="U68" s="8"/>
      <c r="V68" s="8"/>
      <c r="W68" s="8"/>
      <c r="X68" s="8"/>
      <c r="Y68" s="8"/>
      <c r="Z68" s="8"/>
      <c r="AA68" s="8"/>
    </row>
    <row r="69" spans="1:27" ht="173.25">
      <c r="A69" s="8" t="s">
        <v>53</v>
      </c>
      <c r="B69" s="29" t="s">
        <v>195</v>
      </c>
      <c r="C69" s="8" t="s">
        <v>256</v>
      </c>
      <c r="D69" s="8" t="s">
        <v>261</v>
      </c>
      <c r="E69" s="8" t="s">
        <v>262</v>
      </c>
      <c r="F69" s="8" t="s">
        <v>3710</v>
      </c>
      <c r="G69" s="8" t="s">
        <v>62</v>
      </c>
      <c r="H69" s="8" t="s">
        <v>263</v>
      </c>
      <c r="I69" s="8" t="s">
        <v>260</v>
      </c>
      <c r="J69" s="8" t="s">
        <v>1191</v>
      </c>
      <c r="K69" s="8" t="s">
        <v>3754</v>
      </c>
      <c r="L69" s="283"/>
      <c r="M69" s="8" t="s">
        <v>9</v>
      </c>
      <c r="N69" s="13"/>
      <c r="O69" s="281"/>
      <c r="P69" s="8"/>
      <c r="Q69" s="132"/>
      <c r="R69" s="38"/>
      <c r="S69" s="8"/>
      <c r="T69" s="8"/>
      <c r="U69" s="8"/>
      <c r="V69" s="8"/>
      <c r="W69" s="8"/>
      <c r="X69" s="8"/>
      <c r="Y69" s="8"/>
      <c r="Z69" s="8"/>
      <c r="AA69" s="8"/>
    </row>
    <row r="70" spans="1:27" ht="141.75">
      <c r="A70" s="8" t="s">
        <v>53</v>
      </c>
      <c r="B70" s="29" t="s">
        <v>195</v>
      </c>
      <c r="C70" s="8" t="s">
        <v>256</v>
      </c>
      <c r="D70" s="8" t="s">
        <v>264</v>
      </c>
      <c r="E70" s="8" t="s">
        <v>265</v>
      </c>
      <c r="F70" s="8" t="s">
        <v>3708</v>
      </c>
      <c r="G70" s="8" t="s">
        <v>62</v>
      </c>
      <c r="H70" s="8" t="s">
        <v>266</v>
      </c>
      <c r="I70" s="8" t="s">
        <v>260</v>
      </c>
      <c r="J70" s="8" t="s">
        <v>1090</v>
      </c>
      <c r="K70" s="8" t="s">
        <v>3755</v>
      </c>
      <c r="L70" s="283"/>
      <c r="M70" s="8"/>
      <c r="N70" s="8"/>
      <c r="O70" s="281"/>
      <c r="P70" s="8"/>
      <c r="Q70" s="132"/>
      <c r="R70" s="38"/>
      <c r="S70" s="8"/>
      <c r="T70" s="8"/>
      <c r="U70" s="8"/>
      <c r="V70" s="8"/>
      <c r="W70" s="8"/>
      <c r="X70" s="8"/>
      <c r="Y70" s="8"/>
      <c r="Z70" s="8"/>
      <c r="AA70" s="8"/>
    </row>
    <row r="71" spans="1:27" ht="141.75">
      <c r="A71" s="8" t="s">
        <v>53</v>
      </c>
      <c r="B71" s="29" t="s">
        <v>195</v>
      </c>
      <c r="C71" s="8" t="s">
        <v>256</v>
      </c>
      <c r="D71" s="8" t="s">
        <v>267</v>
      </c>
      <c r="E71" s="8" t="s">
        <v>268</v>
      </c>
      <c r="F71" s="8" t="s">
        <v>3708</v>
      </c>
      <c r="G71" s="8" t="s">
        <v>62</v>
      </c>
      <c r="H71" s="8" t="s">
        <v>269</v>
      </c>
      <c r="I71" s="8" t="s">
        <v>270</v>
      </c>
      <c r="J71" s="8" t="s">
        <v>1090</v>
      </c>
      <c r="K71" s="8" t="s">
        <v>3756</v>
      </c>
      <c r="L71" s="283"/>
      <c r="M71" s="8"/>
      <c r="N71" s="8"/>
      <c r="O71" s="281"/>
      <c r="P71" s="8"/>
      <c r="Q71" s="132"/>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283"/>
      <c r="M72" s="8"/>
      <c r="N72" s="8"/>
      <c r="O72" s="281"/>
      <c r="P72" s="8"/>
      <c r="Q72" s="132"/>
      <c r="R72" s="38"/>
      <c r="S72" s="8"/>
      <c r="T72" s="8"/>
      <c r="U72" s="8"/>
      <c r="V72" s="8"/>
      <c r="W72" s="8"/>
      <c r="X72" s="8"/>
      <c r="Y72" s="8"/>
      <c r="Z72" s="8"/>
      <c r="AA72" s="8"/>
    </row>
    <row r="73" spans="1:27" ht="141.75">
      <c r="A73" s="8" t="s">
        <v>53</v>
      </c>
      <c r="B73" s="29" t="s">
        <v>274</v>
      </c>
      <c r="C73" s="8" t="s">
        <v>275</v>
      </c>
      <c r="D73" s="8" t="s">
        <v>276</v>
      </c>
      <c r="E73" s="8" t="s">
        <v>277</v>
      </c>
      <c r="F73" s="20" t="s">
        <v>3708</v>
      </c>
      <c r="G73" s="20" t="s">
        <v>62</v>
      </c>
      <c r="H73" s="20"/>
      <c r="I73" s="20"/>
      <c r="J73" s="20"/>
      <c r="K73" s="20"/>
      <c r="L73" s="278"/>
      <c r="M73" s="20"/>
      <c r="N73" s="20"/>
      <c r="O73" s="279"/>
      <c r="P73" s="20"/>
      <c r="Q73" s="132"/>
      <c r="R73" s="39"/>
      <c r="S73" s="20"/>
      <c r="T73" s="20"/>
      <c r="U73" s="20"/>
      <c r="V73" s="20"/>
      <c r="W73" s="20"/>
      <c r="X73" s="20"/>
      <c r="Y73" s="20"/>
      <c r="Z73" s="20"/>
      <c r="AA73" s="20"/>
    </row>
    <row r="74" spans="1:27" ht="409.5">
      <c r="A74" s="8"/>
      <c r="B74" s="29" t="s">
        <v>274</v>
      </c>
      <c r="C74" s="8" t="s">
        <v>275</v>
      </c>
      <c r="D74" s="8" t="s">
        <v>278</v>
      </c>
      <c r="E74" s="69" t="s">
        <v>279</v>
      </c>
      <c r="F74" s="8" t="s">
        <v>3708</v>
      </c>
      <c r="G74" s="8" t="s">
        <v>62</v>
      </c>
      <c r="H74" s="8" t="s">
        <v>280</v>
      </c>
      <c r="I74" s="292">
        <v>1</v>
      </c>
      <c r="J74" s="8" t="s">
        <v>1090</v>
      </c>
      <c r="K74" s="8" t="s">
        <v>3757</v>
      </c>
      <c r="L74" s="283"/>
      <c r="M74" s="8"/>
      <c r="N74" s="8"/>
      <c r="O74" s="281"/>
      <c r="P74" s="8"/>
      <c r="Q74" s="132"/>
      <c r="R74" s="38"/>
      <c r="S74" s="8"/>
      <c r="T74" s="8"/>
      <c r="U74" s="8"/>
      <c r="V74" s="8"/>
      <c r="W74" s="8"/>
      <c r="X74" s="8"/>
      <c r="Y74" s="8"/>
      <c r="Z74" s="8"/>
      <c r="AA74" s="8"/>
    </row>
    <row r="75" spans="1:27" ht="141.75">
      <c r="A75" s="8" t="s">
        <v>53</v>
      </c>
      <c r="B75" s="29" t="s">
        <v>274</v>
      </c>
      <c r="C75" s="8" t="s">
        <v>275</v>
      </c>
      <c r="D75" s="8" t="s">
        <v>281</v>
      </c>
      <c r="E75" s="69" t="s">
        <v>279</v>
      </c>
      <c r="F75" s="8" t="s">
        <v>3708</v>
      </c>
      <c r="G75" s="8" t="s">
        <v>62</v>
      </c>
      <c r="H75" s="8" t="s">
        <v>282</v>
      </c>
      <c r="I75" s="292">
        <v>1</v>
      </c>
      <c r="J75" s="9" t="s">
        <v>1090</v>
      </c>
      <c r="K75" s="8" t="s">
        <v>3758</v>
      </c>
      <c r="L75" s="283"/>
      <c r="M75" s="9"/>
      <c r="N75" s="9"/>
      <c r="O75" s="281"/>
      <c r="P75" s="8"/>
      <c r="Q75" s="282"/>
      <c r="R75" s="37"/>
      <c r="S75" s="9"/>
      <c r="T75" s="9"/>
      <c r="U75" s="9"/>
      <c r="V75" s="9"/>
      <c r="W75" s="9"/>
      <c r="X75" s="9"/>
      <c r="Y75" s="9"/>
      <c r="Z75" s="9"/>
      <c r="AA75" s="8"/>
    </row>
    <row r="76" spans="1:27" ht="141.75">
      <c r="A76" s="8" t="s">
        <v>53</v>
      </c>
      <c r="B76" s="29" t="s">
        <v>274</v>
      </c>
      <c r="C76" s="8" t="s">
        <v>275</v>
      </c>
      <c r="D76" s="8" t="s">
        <v>283</v>
      </c>
      <c r="E76" s="69" t="s">
        <v>284</v>
      </c>
      <c r="F76" s="8" t="s">
        <v>3708</v>
      </c>
      <c r="G76" s="8" t="s">
        <v>62</v>
      </c>
      <c r="H76" s="8" t="s">
        <v>285</v>
      </c>
      <c r="I76" s="292">
        <v>1</v>
      </c>
      <c r="J76" s="8" t="s">
        <v>1090</v>
      </c>
      <c r="K76" s="8" t="s">
        <v>3758</v>
      </c>
      <c r="L76" s="283"/>
      <c r="M76" s="8"/>
      <c r="N76" s="8"/>
      <c r="O76" s="281"/>
      <c r="P76" s="8"/>
      <c r="Q76" s="132"/>
      <c r="R76" s="38"/>
      <c r="S76" s="8"/>
      <c r="T76" s="8"/>
      <c r="U76" s="8"/>
      <c r="V76" s="8"/>
      <c r="W76" s="8"/>
      <c r="X76" s="8"/>
      <c r="Y76" s="8"/>
      <c r="Z76" s="8"/>
      <c r="AA76" s="8"/>
    </row>
    <row r="77" spans="1:27" ht="141.75">
      <c r="A77" s="8"/>
      <c r="B77" s="29" t="s">
        <v>274</v>
      </c>
      <c r="C77" s="8" t="s">
        <v>275</v>
      </c>
      <c r="D77" s="8" t="s">
        <v>286</v>
      </c>
      <c r="E77" s="69" t="s">
        <v>284</v>
      </c>
      <c r="F77" s="8" t="s">
        <v>3708</v>
      </c>
      <c r="G77" s="8" t="s">
        <v>62</v>
      </c>
      <c r="H77" s="8" t="s">
        <v>287</v>
      </c>
      <c r="I77" s="292">
        <v>1</v>
      </c>
      <c r="J77" s="8" t="s">
        <v>1090</v>
      </c>
      <c r="K77" s="8" t="s">
        <v>3759</v>
      </c>
      <c r="L77" s="283"/>
      <c r="M77" s="8"/>
      <c r="N77" s="8"/>
      <c r="O77" s="281"/>
      <c r="P77" s="8"/>
      <c r="Q77" s="132"/>
      <c r="R77" s="38"/>
      <c r="S77" s="8"/>
      <c r="T77" s="8"/>
      <c r="U77" s="8"/>
      <c r="V77" s="8"/>
      <c r="W77" s="8"/>
      <c r="X77" s="8"/>
      <c r="Y77" s="8"/>
      <c r="Z77" s="8"/>
      <c r="AA77" s="8"/>
    </row>
    <row r="78" spans="1:27" ht="141.75">
      <c r="A78" s="8" t="s">
        <v>53</v>
      </c>
      <c r="B78" s="29" t="s">
        <v>274</v>
      </c>
      <c r="C78" s="8" t="s">
        <v>275</v>
      </c>
      <c r="D78" s="8" t="s">
        <v>288</v>
      </c>
      <c r="E78" s="69" t="s">
        <v>289</v>
      </c>
      <c r="F78" s="8" t="s">
        <v>3708</v>
      </c>
      <c r="G78" s="8" t="s">
        <v>62</v>
      </c>
      <c r="H78" s="8" t="s">
        <v>290</v>
      </c>
      <c r="I78" s="292">
        <v>1</v>
      </c>
      <c r="J78" s="8" t="s">
        <v>1090</v>
      </c>
      <c r="K78" s="8" t="s">
        <v>3758</v>
      </c>
      <c r="L78" s="283"/>
      <c r="M78" s="8"/>
      <c r="N78" s="8"/>
      <c r="O78" s="281"/>
      <c r="P78" s="8"/>
      <c r="Q78" s="132"/>
      <c r="R78" s="38"/>
      <c r="S78" s="8"/>
      <c r="T78" s="8"/>
      <c r="U78" s="8"/>
      <c r="V78" s="8"/>
      <c r="W78" s="8"/>
      <c r="X78" s="8"/>
      <c r="Y78" s="8"/>
      <c r="Z78" s="8"/>
      <c r="AA78" s="8"/>
    </row>
    <row r="79" spans="1:27" ht="141.75">
      <c r="A79" s="8" t="s">
        <v>53</v>
      </c>
      <c r="B79" s="29" t="s">
        <v>274</v>
      </c>
      <c r="C79" s="8" t="s">
        <v>275</v>
      </c>
      <c r="D79" s="8" t="s">
        <v>291</v>
      </c>
      <c r="E79" s="69" t="s">
        <v>289</v>
      </c>
      <c r="F79" s="8" t="s">
        <v>3708</v>
      </c>
      <c r="G79" s="8" t="s">
        <v>62</v>
      </c>
      <c r="H79" s="8" t="s">
        <v>292</v>
      </c>
      <c r="I79" s="292">
        <v>1</v>
      </c>
      <c r="J79" s="8" t="s">
        <v>1090</v>
      </c>
      <c r="K79" s="8" t="s">
        <v>3758</v>
      </c>
      <c r="L79" s="283"/>
      <c r="M79" s="8"/>
      <c r="N79" s="8"/>
      <c r="O79" s="281"/>
      <c r="P79" s="8"/>
      <c r="Q79" s="132"/>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283"/>
      <c r="M80" s="8"/>
      <c r="N80" s="8"/>
      <c r="O80" s="281"/>
      <c r="P80" s="8"/>
      <c r="Q80" s="132"/>
      <c r="R80" s="38"/>
      <c r="S80" s="8"/>
      <c r="T80" s="8"/>
      <c r="U80" s="8"/>
      <c r="V80" s="8"/>
      <c r="W80" s="8"/>
      <c r="X80" s="8"/>
      <c r="Y80" s="8"/>
      <c r="Z80" s="8"/>
      <c r="AA80" s="8"/>
    </row>
    <row r="81" spans="1:27" ht="47.25">
      <c r="A81" s="8" t="s">
        <v>53</v>
      </c>
      <c r="B81" s="29" t="s">
        <v>274</v>
      </c>
      <c r="C81" s="8" t="s">
        <v>298</v>
      </c>
      <c r="D81" s="8" t="s">
        <v>299</v>
      </c>
      <c r="E81" s="8" t="s">
        <v>300</v>
      </c>
      <c r="F81" s="20"/>
      <c r="G81" s="20" t="s">
        <v>62</v>
      </c>
      <c r="H81" s="20"/>
      <c r="I81" s="20"/>
      <c r="J81" s="20"/>
      <c r="K81" s="20"/>
      <c r="L81" s="278"/>
      <c r="M81" s="20"/>
      <c r="N81" s="20"/>
      <c r="O81" s="279"/>
      <c r="P81" s="20"/>
      <c r="Q81" s="132"/>
      <c r="R81" s="39"/>
      <c r="S81" s="20"/>
      <c r="T81" s="20"/>
      <c r="U81" s="20"/>
      <c r="V81" s="20"/>
      <c r="W81" s="20"/>
      <c r="X81" s="20"/>
      <c r="Y81" s="20"/>
      <c r="Z81" s="20"/>
      <c r="AA81" s="20"/>
    </row>
    <row r="82" spans="1:27" ht="110.25">
      <c r="A82" s="8" t="s">
        <v>53</v>
      </c>
      <c r="B82" s="29" t="s">
        <v>274</v>
      </c>
      <c r="C82" s="8" t="s">
        <v>298</v>
      </c>
      <c r="D82" s="8" t="s">
        <v>301</v>
      </c>
      <c r="E82" s="69" t="s">
        <v>302</v>
      </c>
      <c r="F82" s="8" t="s">
        <v>3710</v>
      </c>
      <c r="G82" s="8" t="s">
        <v>62</v>
      </c>
      <c r="H82" s="8" t="s">
        <v>303</v>
      </c>
      <c r="I82" s="8" t="s">
        <v>210</v>
      </c>
      <c r="J82" s="8" t="s">
        <v>1090</v>
      </c>
      <c r="K82" s="8" t="s">
        <v>3760</v>
      </c>
      <c r="L82" s="283"/>
      <c r="M82" s="8"/>
      <c r="N82" s="78"/>
      <c r="O82" s="281"/>
      <c r="P82" s="8"/>
      <c r="Q82" s="132"/>
      <c r="R82" s="38"/>
      <c r="S82" s="8"/>
      <c r="T82" s="8"/>
      <c r="U82" s="8"/>
      <c r="V82" s="8"/>
      <c r="W82" s="8"/>
      <c r="X82" s="8"/>
      <c r="Y82" s="8"/>
      <c r="Z82" s="8"/>
      <c r="AA82" s="8"/>
    </row>
    <row r="83" spans="1:27" ht="189">
      <c r="A83" s="8" t="s">
        <v>53</v>
      </c>
      <c r="B83" s="29" t="s">
        <v>274</v>
      </c>
      <c r="C83" s="8" t="s">
        <v>298</v>
      </c>
      <c r="D83" s="8" t="s">
        <v>304</v>
      </c>
      <c r="E83" s="69" t="s">
        <v>305</v>
      </c>
      <c r="F83" s="8" t="s">
        <v>3710</v>
      </c>
      <c r="G83" s="8" t="s">
        <v>62</v>
      </c>
      <c r="H83" s="8" t="s">
        <v>306</v>
      </c>
      <c r="I83" s="8" t="s">
        <v>210</v>
      </c>
      <c r="J83" s="8" t="s">
        <v>1191</v>
      </c>
      <c r="K83" s="8" t="s">
        <v>3761</v>
      </c>
      <c r="L83" s="283"/>
      <c r="M83" s="8" t="s">
        <v>9</v>
      </c>
      <c r="N83" s="78"/>
      <c r="O83" s="281"/>
      <c r="P83" s="8"/>
      <c r="Q83" s="132"/>
      <c r="R83" s="38"/>
      <c r="S83" s="8"/>
      <c r="T83" s="8"/>
      <c r="U83" s="8"/>
      <c r="V83" s="8"/>
      <c r="W83" s="8"/>
      <c r="X83" s="8"/>
      <c r="Y83" s="8"/>
      <c r="Z83" s="8"/>
      <c r="AA83" s="8"/>
    </row>
    <row r="84" spans="1:27" ht="189">
      <c r="A84" s="8" t="s">
        <v>53</v>
      </c>
      <c r="B84" s="29" t="s">
        <v>274</v>
      </c>
      <c r="C84" s="8" t="s">
        <v>298</v>
      </c>
      <c r="D84" s="8" t="s">
        <v>307</v>
      </c>
      <c r="E84" s="69" t="s">
        <v>308</v>
      </c>
      <c r="F84" s="8" t="s">
        <v>3710</v>
      </c>
      <c r="G84" s="8" t="s">
        <v>62</v>
      </c>
      <c r="H84" s="8" t="s">
        <v>309</v>
      </c>
      <c r="I84" s="8" t="s">
        <v>210</v>
      </c>
      <c r="J84" s="8" t="s">
        <v>1090</v>
      </c>
      <c r="K84" s="8" t="s">
        <v>3762</v>
      </c>
      <c r="L84" s="283"/>
      <c r="M84" s="8"/>
      <c r="N84" s="8"/>
      <c r="O84" s="281"/>
      <c r="P84" s="8"/>
      <c r="Q84" s="132"/>
      <c r="R84" s="38"/>
      <c r="S84" s="8"/>
      <c r="T84" s="8"/>
      <c r="U84" s="8"/>
      <c r="V84" s="8"/>
      <c r="W84" s="8"/>
      <c r="X84" s="8"/>
      <c r="Y84" s="8"/>
      <c r="Z84" s="8"/>
      <c r="AA84" s="8"/>
    </row>
    <row r="85" spans="1:27" ht="94.5">
      <c r="A85" s="78" t="s">
        <v>53</v>
      </c>
      <c r="B85" s="79" t="s">
        <v>274</v>
      </c>
      <c r="C85" s="78" t="s">
        <v>298</v>
      </c>
      <c r="D85" s="78" t="s">
        <v>310</v>
      </c>
      <c r="E85" s="80" t="s">
        <v>311</v>
      </c>
      <c r="F85" s="78" t="s">
        <v>3710</v>
      </c>
      <c r="G85" s="78" t="s">
        <v>62</v>
      </c>
      <c r="H85" s="78" t="s">
        <v>312</v>
      </c>
      <c r="I85" s="293">
        <v>1</v>
      </c>
      <c r="J85" s="78" t="s">
        <v>1191</v>
      </c>
      <c r="K85" s="78" t="s">
        <v>3763</v>
      </c>
      <c r="L85" s="294"/>
      <c r="M85" s="78" t="s">
        <v>9</v>
      </c>
      <c r="N85" s="78"/>
      <c r="O85" s="295"/>
      <c r="P85" s="78"/>
      <c r="Q85" s="132"/>
      <c r="R85" s="83"/>
      <c r="S85" s="78"/>
      <c r="T85" s="78"/>
      <c r="U85" s="78"/>
      <c r="V85" s="78"/>
      <c r="W85" s="78"/>
      <c r="X85" s="78"/>
      <c r="Y85" s="78"/>
      <c r="Z85" s="78"/>
      <c r="AA85" s="78"/>
    </row>
    <row r="86" spans="1:27" ht="283.5">
      <c r="A86" s="76" t="s">
        <v>53</v>
      </c>
      <c r="B86" s="77" t="s">
        <v>274</v>
      </c>
      <c r="C86" s="76" t="s">
        <v>298</v>
      </c>
      <c r="D86" s="76" t="s">
        <v>313</v>
      </c>
      <c r="E86" s="76" t="s">
        <v>314</v>
      </c>
      <c r="F86" s="76" t="s">
        <v>3710</v>
      </c>
      <c r="G86" s="76" t="s">
        <v>62</v>
      </c>
      <c r="H86" s="76" t="s">
        <v>315</v>
      </c>
      <c r="I86" s="76" t="s">
        <v>221</v>
      </c>
      <c r="J86" s="76" t="s">
        <v>1191</v>
      </c>
      <c r="K86" s="8" t="s">
        <v>3764</v>
      </c>
      <c r="L86" s="296"/>
      <c r="M86" s="76" t="s">
        <v>9</v>
      </c>
      <c r="N86" s="78"/>
      <c r="O86" s="297"/>
      <c r="P86" s="298"/>
      <c r="Q86" s="26"/>
      <c r="R86" s="76"/>
      <c r="S86" s="90"/>
      <c r="T86" s="76"/>
      <c r="U86" s="76"/>
      <c r="V86" s="76"/>
      <c r="W86" s="76"/>
      <c r="X86" s="76"/>
      <c r="Y86" s="76"/>
      <c r="Z86" s="76"/>
      <c r="AA86" s="76"/>
    </row>
    <row r="87" spans="1:27" ht="94.5">
      <c r="A87" s="84" t="s">
        <v>53</v>
      </c>
      <c r="B87" s="85" t="s">
        <v>274</v>
      </c>
      <c r="C87" s="84" t="s">
        <v>298</v>
      </c>
      <c r="D87" s="84" t="s">
        <v>316</v>
      </c>
      <c r="E87" s="84" t="s">
        <v>317</v>
      </c>
      <c r="F87" s="84" t="s">
        <v>3710</v>
      </c>
      <c r="G87" s="84" t="s">
        <v>62</v>
      </c>
      <c r="H87" s="84" t="s">
        <v>318</v>
      </c>
      <c r="I87" s="86">
        <v>1</v>
      </c>
      <c r="J87" s="86" t="s">
        <v>1090</v>
      </c>
      <c r="K87" s="8" t="s">
        <v>3765</v>
      </c>
      <c r="L87" s="299"/>
      <c r="M87" s="86"/>
      <c r="N87" s="78"/>
      <c r="O87" s="300"/>
      <c r="P87" s="84"/>
      <c r="Q87" s="282"/>
      <c r="R87" s="88"/>
      <c r="S87" s="86"/>
      <c r="T87" s="86"/>
      <c r="U87" s="86"/>
      <c r="V87" s="86"/>
      <c r="W87" s="86"/>
      <c r="X87" s="86"/>
      <c r="Y87" s="86"/>
      <c r="Z87" s="86"/>
      <c r="AA87" s="84"/>
    </row>
    <row r="88" spans="1:27" ht="63">
      <c r="A88" s="8" t="s">
        <v>53</v>
      </c>
      <c r="B88" s="29" t="s">
        <v>274</v>
      </c>
      <c r="C88" s="8" t="s">
        <v>319</v>
      </c>
      <c r="D88" s="8" t="s">
        <v>320</v>
      </c>
      <c r="E88" s="8" t="s">
        <v>321</v>
      </c>
      <c r="F88" s="20"/>
      <c r="G88" s="20" t="s">
        <v>62</v>
      </c>
      <c r="H88" s="20"/>
      <c r="I88" s="20"/>
      <c r="J88" s="20" t="s">
        <v>1191</v>
      </c>
      <c r="K88" s="20"/>
      <c r="L88" s="278"/>
      <c r="M88" s="20"/>
      <c r="N88" s="20"/>
      <c r="O88" s="279"/>
      <c r="P88" s="20"/>
      <c r="Q88" s="132"/>
      <c r="R88" s="39"/>
      <c r="S88" s="20"/>
      <c r="T88" s="20"/>
      <c r="U88" s="20"/>
      <c r="V88" s="20"/>
      <c r="W88" s="20"/>
      <c r="X88" s="20"/>
      <c r="Y88" s="20"/>
      <c r="Z88" s="20"/>
      <c r="AA88" s="20"/>
    </row>
    <row r="89" spans="1:27" ht="110.25">
      <c r="A89" s="8" t="s">
        <v>53</v>
      </c>
      <c r="B89" s="29" t="s">
        <v>274</v>
      </c>
      <c r="C89" s="8" t="s">
        <v>319</v>
      </c>
      <c r="D89" s="8" t="s">
        <v>322</v>
      </c>
      <c r="E89" s="69" t="s">
        <v>323</v>
      </c>
      <c r="F89" s="8" t="s">
        <v>3766</v>
      </c>
      <c r="G89" s="8" t="s">
        <v>62</v>
      </c>
      <c r="H89" s="8" t="s">
        <v>324</v>
      </c>
      <c r="I89" s="8" t="s">
        <v>325</v>
      </c>
      <c r="J89" s="8" t="s">
        <v>1191</v>
      </c>
      <c r="K89" s="20" t="s">
        <v>3767</v>
      </c>
      <c r="L89" s="283"/>
      <c r="M89" s="8" t="s">
        <v>9</v>
      </c>
      <c r="N89" s="8"/>
      <c r="O89" s="281"/>
      <c r="P89" s="8"/>
      <c r="Q89" s="132"/>
      <c r="R89" s="38"/>
      <c r="S89" s="8"/>
      <c r="T89" s="8"/>
      <c r="U89" s="8"/>
      <c r="V89" s="8"/>
      <c r="W89" s="8"/>
      <c r="X89" s="8"/>
      <c r="Y89" s="8"/>
      <c r="Z89" s="8"/>
      <c r="AA89" s="8"/>
    </row>
    <row r="90" spans="1:27" ht="141.75">
      <c r="A90" s="8" t="s">
        <v>53</v>
      </c>
      <c r="B90" s="29" t="s">
        <v>274</v>
      </c>
      <c r="C90" s="8" t="s">
        <v>319</v>
      </c>
      <c r="D90" s="8" t="s">
        <v>326</v>
      </c>
      <c r="E90" s="69" t="s">
        <v>327</v>
      </c>
      <c r="F90" s="8" t="s">
        <v>3710</v>
      </c>
      <c r="G90" s="8" t="s">
        <v>62</v>
      </c>
      <c r="H90" s="8" t="s">
        <v>328</v>
      </c>
      <c r="I90" s="9">
        <v>1</v>
      </c>
      <c r="J90" s="8" t="s">
        <v>1191</v>
      </c>
      <c r="K90" s="8" t="s">
        <v>3768</v>
      </c>
      <c r="L90" s="283"/>
      <c r="M90" s="8" t="s">
        <v>9</v>
      </c>
      <c r="N90" s="8"/>
      <c r="O90" s="281"/>
      <c r="P90" s="8"/>
      <c r="Q90" s="132"/>
      <c r="R90" s="38"/>
      <c r="S90" s="8"/>
      <c r="T90" s="8"/>
      <c r="U90" s="8"/>
      <c r="V90" s="8"/>
      <c r="W90" s="8"/>
      <c r="X90" s="8"/>
      <c r="Y90" s="8"/>
      <c r="Z90" s="8"/>
      <c r="AA90" s="8"/>
    </row>
    <row r="91" spans="1:27" ht="141.75">
      <c r="A91" s="8" t="s">
        <v>53</v>
      </c>
      <c r="B91" s="29" t="s">
        <v>274</v>
      </c>
      <c r="C91" s="8" t="s">
        <v>319</v>
      </c>
      <c r="D91" s="8" t="s">
        <v>329</v>
      </c>
      <c r="E91" s="8" t="s">
        <v>330</v>
      </c>
      <c r="F91" s="8" t="s">
        <v>3710</v>
      </c>
      <c r="G91" s="8" t="s">
        <v>62</v>
      </c>
      <c r="H91" s="8" t="s">
        <v>182</v>
      </c>
      <c r="I91" s="9">
        <v>1</v>
      </c>
      <c r="J91" s="9" t="s">
        <v>1191</v>
      </c>
      <c r="K91" s="9" t="s">
        <v>3769</v>
      </c>
      <c r="L91" s="283"/>
      <c r="M91" s="9" t="s">
        <v>9</v>
      </c>
      <c r="N91" s="9"/>
      <c r="O91" s="281"/>
      <c r="P91" s="8"/>
      <c r="Q91" s="282"/>
      <c r="R91" s="37"/>
      <c r="S91" s="9"/>
      <c r="T91" s="9"/>
      <c r="U91" s="9"/>
      <c r="V91" s="9"/>
      <c r="W91" s="9"/>
      <c r="X91" s="9"/>
      <c r="Y91" s="9"/>
      <c r="Z91" s="9"/>
      <c r="AA91" s="8"/>
    </row>
    <row r="92" spans="1:27" ht="315">
      <c r="A92" s="8" t="s">
        <v>53</v>
      </c>
      <c r="B92" s="29" t="s">
        <v>274</v>
      </c>
      <c r="C92" s="8" t="s">
        <v>319</v>
      </c>
      <c r="D92" s="8" t="s">
        <v>331</v>
      </c>
      <c r="E92" s="8" t="s">
        <v>332</v>
      </c>
      <c r="F92" s="8" t="s">
        <v>3710</v>
      </c>
      <c r="G92" s="8" t="s">
        <v>62</v>
      </c>
      <c r="H92" s="8" t="s">
        <v>182</v>
      </c>
      <c r="I92" s="9">
        <v>1</v>
      </c>
      <c r="J92" s="9" t="s">
        <v>1090</v>
      </c>
      <c r="K92" s="9" t="s">
        <v>3770</v>
      </c>
      <c r="L92" s="283"/>
      <c r="M92" s="9"/>
      <c r="N92" s="9"/>
      <c r="O92" s="281"/>
      <c r="P92" s="8"/>
      <c r="Q92" s="282"/>
      <c r="R92" s="37"/>
      <c r="S92" s="9"/>
      <c r="T92" s="9"/>
      <c r="U92" s="9"/>
      <c r="V92" s="9"/>
      <c r="W92" s="9"/>
      <c r="X92" s="9"/>
      <c r="Y92" s="9"/>
      <c r="Z92" s="9"/>
      <c r="AA92" s="8"/>
    </row>
    <row r="93" spans="1:27" ht="94.5">
      <c r="A93" s="8" t="s">
        <v>53</v>
      </c>
      <c r="B93" s="29" t="s">
        <v>274</v>
      </c>
      <c r="C93" s="8" t="s">
        <v>319</v>
      </c>
      <c r="D93" s="8" t="s">
        <v>333</v>
      </c>
      <c r="E93" s="8" t="s">
        <v>334</v>
      </c>
      <c r="F93" s="8" t="s">
        <v>3710</v>
      </c>
      <c r="G93" s="8" t="s">
        <v>62</v>
      </c>
      <c r="H93" s="8" t="s">
        <v>335</v>
      </c>
      <c r="I93" s="9">
        <v>1</v>
      </c>
      <c r="J93" s="9" t="s">
        <v>1090</v>
      </c>
      <c r="K93" s="9" t="s">
        <v>3771</v>
      </c>
      <c r="L93" s="283"/>
      <c r="M93" s="9"/>
      <c r="N93" s="9"/>
      <c r="O93" s="281"/>
      <c r="P93" s="8"/>
      <c r="Q93" s="282"/>
      <c r="R93" s="37"/>
      <c r="S93" s="9"/>
      <c r="T93" s="9"/>
      <c r="U93" s="9"/>
      <c r="V93" s="9"/>
      <c r="W93" s="9"/>
      <c r="X93" s="9"/>
      <c r="Y93" s="9"/>
      <c r="Z93" s="9"/>
      <c r="AA93" s="8"/>
    </row>
    <row r="94" spans="1:27" ht="110.25" hidden="1">
      <c r="A94" s="8" t="s">
        <v>53</v>
      </c>
      <c r="B94" s="29" t="s">
        <v>336</v>
      </c>
      <c r="C94" s="8" t="s">
        <v>337</v>
      </c>
      <c r="D94" s="8" t="s">
        <v>338</v>
      </c>
      <c r="E94" s="8" t="s">
        <v>339</v>
      </c>
      <c r="F94" s="20"/>
      <c r="G94" s="20" t="s">
        <v>71</v>
      </c>
      <c r="H94" s="20"/>
      <c r="I94" s="20"/>
      <c r="J94" s="20"/>
      <c r="K94" s="20"/>
      <c r="L94" s="278"/>
      <c r="M94" s="20"/>
      <c r="N94" s="20"/>
      <c r="O94" s="279"/>
      <c r="P94" s="20"/>
      <c r="Q94" s="132"/>
      <c r="R94" s="39"/>
      <c r="S94" s="20"/>
      <c r="T94" s="20"/>
      <c r="U94" s="20"/>
      <c r="V94" s="20"/>
      <c r="W94" s="20"/>
      <c r="X94" s="20"/>
      <c r="Y94" s="20"/>
      <c r="Z94" s="20"/>
      <c r="AA94" s="20"/>
    </row>
    <row r="95" spans="1:27" ht="94.5">
      <c r="A95" s="8" t="s">
        <v>53</v>
      </c>
      <c r="B95" s="29" t="s">
        <v>336</v>
      </c>
      <c r="C95" s="8" t="s">
        <v>337</v>
      </c>
      <c r="D95" s="8" t="s">
        <v>340</v>
      </c>
      <c r="E95" s="69" t="s">
        <v>341</v>
      </c>
      <c r="F95" s="8" t="s">
        <v>3710</v>
      </c>
      <c r="G95" s="8" t="s">
        <v>62</v>
      </c>
      <c r="H95" s="8" t="s">
        <v>342</v>
      </c>
      <c r="I95" s="8" t="s">
        <v>343</v>
      </c>
      <c r="J95" s="8" t="s">
        <v>1191</v>
      </c>
      <c r="K95" s="8" t="s">
        <v>3772</v>
      </c>
      <c r="L95" s="283"/>
      <c r="M95" s="8" t="s">
        <v>11</v>
      </c>
      <c r="N95" s="8"/>
      <c r="O95" s="281"/>
      <c r="P95" s="8"/>
      <c r="Q95" s="132"/>
      <c r="R95" s="38"/>
      <c r="S95" s="8"/>
      <c r="T95" s="8"/>
      <c r="U95" s="8"/>
      <c r="V95" s="8"/>
      <c r="W95" s="8"/>
      <c r="X95" s="8"/>
      <c r="Y95" s="8"/>
      <c r="Z95" s="8"/>
      <c r="AA95" s="8"/>
    </row>
    <row r="96" spans="1:27" ht="157.5">
      <c r="A96" s="8" t="s">
        <v>53</v>
      </c>
      <c r="B96" s="29" t="s">
        <v>336</v>
      </c>
      <c r="C96" s="8" t="s">
        <v>337</v>
      </c>
      <c r="D96" s="8" t="s">
        <v>344</v>
      </c>
      <c r="E96" s="69" t="s">
        <v>345</v>
      </c>
      <c r="F96" s="8" t="s">
        <v>3710</v>
      </c>
      <c r="G96" s="8" t="s">
        <v>62</v>
      </c>
      <c r="H96" s="8" t="s">
        <v>346</v>
      </c>
      <c r="I96" s="8" t="s">
        <v>343</v>
      </c>
      <c r="J96" s="8" t="s">
        <v>8</v>
      </c>
      <c r="K96" s="8" t="s">
        <v>3773</v>
      </c>
      <c r="L96" s="283"/>
      <c r="M96" s="8" t="s">
        <v>11</v>
      </c>
      <c r="N96" s="8"/>
      <c r="O96" s="281"/>
      <c r="P96" s="8"/>
      <c r="Q96" s="132"/>
      <c r="R96" s="38"/>
      <c r="S96" s="8"/>
      <c r="T96" s="8"/>
      <c r="U96" s="8"/>
      <c r="V96" s="8"/>
      <c r="W96" s="8"/>
      <c r="X96" s="8"/>
      <c r="Y96" s="8"/>
      <c r="Z96" s="8"/>
      <c r="AA96" s="8"/>
    </row>
    <row r="97" spans="1:27" ht="94.5">
      <c r="A97" s="8" t="s">
        <v>53</v>
      </c>
      <c r="B97" s="29" t="s">
        <v>336</v>
      </c>
      <c r="C97" s="8" t="s">
        <v>337</v>
      </c>
      <c r="D97" s="8" t="s">
        <v>347</v>
      </c>
      <c r="E97" s="8" t="s">
        <v>348</v>
      </c>
      <c r="F97" s="8" t="s">
        <v>3710</v>
      </c>
      <c r="G97" s="8" t="s">
        <v>62</v>
      </c>
      <c r="H97" s="8" t="s">
        <v>349</v>
      </c>
      <c r="I97" s="8" t="s">
        <v>110</v>
      </c>
      <c r="J97" s="8" t="s">
        <v>1090</v>
      </c>
      <c r="K97" s="8" t="s">
        <v>3772</v>
      </c>
      <c r="L97" s="283"/>
      <c r="M97" s="8"/>
      <c r="N97" s="8"/>
      <c r="O97" s="281"/>
      <c r="P97" s="8"/>
      <c r="Q97" s="132"/>
      <c r="R97" s="38"/>
      <c r="S97" s="8"/>
      <c r="T97" s="8"/>
      <c r="U97" s="8"/>
      <c r="V97" s="8"/>
      <c r="W97" s="8"/>
      <c r="X97" s="8"/>
      <c r="Y97" s="8"/>
      <c r="Z97" s="8"/>
      <c r="AA97" s="8"/>
    </row>
    <row r="98" spans="1:27" ht="56.25">
      <c r="A98" s="8" t="s">
        <v>53</v>
      </c>
      <c r="B98" s="29" t="s">
        <v>336</v>
      </c>
      <c r="C98" s="8" t="s">
        <v>337</v>
      </c>
      <c r="D98" s="8" t="s">
        <v>350</v>
      </c>
      <c r="E98" s="8" t="s">
        <v>351</v>
      </c>
      <c r="F98" s="20"/>
      <c r="G98" s="20" t="s">
        <v>58</v>
      </c>
      <c r="H98" s="20" t="s">
        <v>352</v>
      </c>
      <c r="I98" s="22">
        <v>1</v>
      </c>
      <c r="J98" s="20"/>
      <c r="K98" s="20"/>
      <c r="L98" s="278"/>
      <c r="M98" s="20"/>
      <c r="N98" s="20"/>
      <c r="O98" s="279"/>
      <c r="P98" s="20"/>
      <c r="Q98" s="132"/>
      <c r="R98" s="39"/>
      <c r="S98" s="20"/>
      <c r="T98" s="20"/>
      <c r="U98" s="20"/>
      <c r="V98" s="20"/>
      <c r="W98" s="20"/>
      <c r="X98" s="20"/>
      <c r="Y98" s="20"/>
      <c r="Z98" s="20"/>
      <c r="AA98" s="20"/>
    </row>
    <row r="99" spans="1:27" ht="141.75">
      <c r="A99" s="8" t="s">
        <v>53</v>
      </c>
      <c r="B99" s="29" t="s">
        <v>336</v>
      </c>
      <c r="C99" s="8" t="s">
        <v>337</v>
      </c>
      <c r="D99" s="8" t="s">
        <v>353</v>
      </c>
      <c r="E99" s="69" t="s">
        <v>354</v>
      </c>
      <c r="F99" s="8" t="s">
        <v>3708</v>
      </c>
      <c r="G99" s="8" t="s">
        <v>58</v>
      </c>
      <c r="H99" s="8" t="s">
        <v>352</v>
      </c>
      <c r="I99" s="9">
        <v>1</v>
      </c>
      <c r="J99" s="9" t="s">
        <v>1090</v>
      </c>
      <c r="K99" s="8" t="s">
        <v>3772</v>
      </c>
      <c r="L99" s="283"/>
      <c r="M99" s="9"/>
      <c r="N99" s="9"/>
      <c r="O99" s="281"/>
      <c r="P99" s="8"/>
      <c r="Q99" s="282"/>
      <c r="R99" s="37"/>
      <c r="S99" s="9"/>
      <c r="T99" s="9"/>
      <c r="U99" s="9"/>
      <c r="V99" s="9"/>
      <c r="W99" s="9"/>
      <c r="X99" s="9"/>
      <c r="Y99" s="9"/>
      <c r="Z99" s="9"/>
      <c r="AA99" s="8"/>
    </row>
    <row r="100" spans="1:27" ht="141.75">
      <c r="A100" s="8" t="s">
        <v>53</v>
      </c>
      <c r="B100" s="29" t="s">
        <v>336</v>
      </c>
      <c r="C100" s="8" t="s">
        <v>337</v>
      </c>
      <c r="D100" s="8" t="s">
        <v>355</v>
      </c>
      <c r="E100" s="69" t="s">
        <v>356</v>
      </c>
      <c r="F100" s="8" t="s">
        <v>3708</v>
      </c>
      <c r="G100" s="8" t="s">
        <v>58</v>
      </c>
      <c r="H100" s="8" t="s">
        <v>352</v>
      </c>
      <c r="I100" s="9">
        <v>1</v>
      </c>
      <c r="J100" s="9" t="s">
        <v>1090</v>
      </c>
      <c r="K100" s="8" t="s">
        <v>3772</v>
      </c>
      <c r="L100" s="283"/>
      <c r="M100" s="9"/>
      <c r="N100" s="9"/>
      <c r="O100" s="281"/>
      <c r="P100" s="8"/>
      <c r="Q100" s="282"/>
      <c r="R100" s="37"/>
      <c r="S100" s="9"/>
      <c r="T100" s="9"/>
      <c r="U100" s="9"/>
      <c r="V100" s="9"/>
      <c r="W100" s="9"/>
      <c r="X100" s="9"/>
      <c r="Y100" s="9"/>
      <c r="Z100" s="9"/>
      <c r="AA100" s="8"/>
    </row>
    <row r="101" spans="1:27" ht="141.75">
      <c r="A101" s="8" t="s">
        <v>53</v>
      </c>
      <c r="B101" s="29" t="s">
        <v>336</v>
      </c>
      <c r="C101" s="8" t="s">
        <v>337</v>
      </c>
      <c r="D101" s="8" t="s">
        <v>357</v>
      </c>
      <c r="E101" s="69" t="s">
        <v>358</v>
      </c>
      <c r="F101" s="8" t="s">
        <v>3708</v>
      </c>
      <c r="G101" s="8" t="s">
        <v>58</v>
      </c>
      <c r="H101" s="8" t="s">
        <v>352</v>
      </c>
      <c r="I101" s="9">
        <v>1</v>
      </c>
      <c r="J101" s="9" t="s">
        <v>1090</v>
      </c>
      <c r="K101" s="8" t="s">
        <v>3772</v>
      </c>
      <c r="L101" s="283"/>
      <c r="M101" s="9"/>
      <c r="N101" s="9"/>
      <c r="O101" s="281"/>
      <c r="P101" s="8"/>
      <c r="Q101" s="282"/>
      <c r="R101" s="37"/>
      <c r="S101" s="9"/>
      <c r="T101" s="9"/>
      <c r="U101" s="9"/>
      <c r="V101" s="9"/>
      <c r="W101" s="9"/>
      <c r="X101" s="9"/>
      <c r="Y101" s="9"/>
      <c r="Z101" s="9"/>
      <c r="AA101" s="8"/>
    </row>
    <row r="102" spans="1:27" ht="141.75">
      <c r="A102" s="8" t="s">
        <v>53</v>
      </c>
      <c r="B102" s="29" t="s">
        <v>336</v>
      </c>
      <c r="C102" s="8" t="s">
        <v>337</v>
      </c>
      <c r="D102" s="8" t="s">
        <v>359</v>
      </c>
      <c r="E102" s="69" t="s">
        <v>360</v>
      </c>
      <c r="F102" s="8" t="s">
        <v>3708</v>
      </c>
      <c r="G102" s="8" t="s">
        <v>58</v>
      </c>
      <c r="H102" s="8" t="s">
        <v>352</v>
      </c>
      <c r="I102" s="9">
        <v>1</v>
      </c>
      <c r="J102" s="9" t="s">
        <v>1090</v>
      </c>
      <c r="K102" s="8" t="s">
        <v>3772</v>
      </c>
      <c r="L102" s="283"/>
      <c r="M102" s="9"/>
      <c r="N102" s="9"/>
      <c r="O102" s="281"/>
      <c r="P102" s="8"/>
      <c r="Q102" s="282"/>
      <c r="R102" s="37"/>
      <c r="S102" s="9"/>
      <c r="T102" s="9"/>
      <c r="U102" s="9"/>
      <c r="V102" s="9"/>
      <c r="W102" s="9"/>
      <c r="X102" s="9"/>
      <c r="Y102" s="9"/>
      <c r="Z102" s="9"/>
      <c r="AA102" s="8"/>
    </row>
    <row r="103" spans="1:27" ht="94.5">
      <c r="A103" s="8" t="s">
        <v>53</v>
      </c>
      <c r="B103" s="29" t="s">
        <v>336</v>
      </c>
      <c r="C103" s="8" t="s">
        <v>337</v>
      </c>
      <c r="D103" s="8" t="s">
        <v>361</v>
      </c>
      <c r="E103" s="69" t="s">
        <v>362</v>
      </c>
      <c r="F103" s="8" t="s">
        <v>3710</v>
      </c>
      <c r="G103" s="8" t="s">
        <v>58</v>
      </c>
      <c r="H103" s="8" t="s">
        <v>352</v>
      </c>
      <c r="I103" s="9">
        <v>1</v>
      </c>
      <c r="J103" s="9" t="s">
        <v>1090</v>
      </c>
      <c r="K103" s="8" t="s">
        <v>3772</v>
      </c>
      <c r="L103" s="283"/>
      <c r="M103" s="9"/>
      <c r="N103" s="9"/>
      <c r="O103" s="281"/>
      <c r="P103" s="8"/>
      <c r="Q103" s="282"/>
      <c r="R103" s="37"/>
      <c r="S103" s="9"/>
      <c r="T103" s="9"/>
      <c r="U103" s="9"/>
      <c r="V103" s="9"/>
      <c r="W103" s="9"/>
      <c r="X103" s="9"/>
      <c r="Y103" s="9"/>
      <c r="Z103" s="9"/>
      <c r="AA103" s="8"/>
    </row>
    <row r="104" spans="1:27" ht="94.5">
      <c r="A104" s="8" t="s">
        <v>53</v>
      </c>
      <c r="B104" s="29" t="s">
        <v>336</v>
      </c>
      <c r="C104" s="8" t="s">
        <v>337</v>
      </c>
      <c r="D104" s="8" t="s">
        <v>363</v>
      </c>
      <c r="E104" s="69" t="s">
        <v>364</v>
      </c>
      <c r="F104" s="8" t="s">
        <v>3710</v>
      </c>
      <c r="G104" s="8" t="s">
        <v>58</v>
      </c>
      <c r="H104" s="8" t="s">
        <v>352</v>
      </c>
      <c r="I104" s="9">
        <v>1</v>
      </c>
      <c r="J104" s="9" t="s">
        <v>1090</v>
      </c>
      <c r="K104" s="8" t="s">
        <v>3772</v>
      </c>
      <c r="L104" s="283"/>
      <c r="M104" s="9"/>
      <c r="N104" s="9"/>
      <c r="O104" s="281"/>
      <c r="P104" s="8"/>
      <c r="Q104" s="282"/>
      <c r="R104" s="37"/>
      <c r="S104" s="9"/>
      <c r="T104" s="9"/>
      <c r="U104" s="9"/>
      <c r="V104" s="9"/>
      <c r="W104" s="9"/>
      <c r="X104" s="9"/>
      <c r="Y104" s="9"/>
      <c r="Z104" s="9"/>
      <c r="AA104" s="8"/>
    </row>
    <row r="105" spans="1:27" ht="141.75">
      <c r="A105" s="8" t="s">
        <v>53</v>
      </c>
      <c r="B105" s="29" t="s">
        <v>336</v>
      </c>
      <c r="C105" s="8" t="s">
        <v>337</v>
      </c>
      <c r="D105" s="8" t="s">
        <v>365</v>
      </c>
      <c r="E105" s="69" t="s">
        <v>366</v>
      </c>
      <c r="F105" s="8" t="s">
        <v>3708</v>
      </c>
      <c r="G105" s="8" t="s">
        <v>58</v>
      </c>
      <c r="H105" s="8" t="s">
        <v>352</v>
      </c>
      <c r="I105" s="9">
        <v>1</v>
      </c>
      <c r="J105" s="9" t="s">
        <v>1090</v>
      </c>
      <c r="K105" s="8" t="s">
        <v>3772</v>
      </c>
      <c r="L105" s="283"/>
      <c r="M105" s="9"/>
      <c r="N105" s="9"/>
      <c r="O105" s="281"/>
      <c r="P105" s="8"/>
      <c r="Q105" s="282"/>
      <c r="R105" s="37"/>
      <c r="S105" s="9"/>
      <c r="T105" s="9"/>
      <c r="U105" s="9"/>
      <c r="V105" s="9"/>
      <c r="W105" s="9"/>
      <c r="X105" s="9"/>
      <c r="Y105" s="9"/>
      <c r="Z105" s="9"/>
      <c r="AA105" s="8"/>
    </row>
    <row r="106" spans="1:27" ht="141.75">
      <c r="A106" s="8" t="s">
        <v>53</v>
      </c>
      <c r="B106" s="29" t="s">
        <v>336</v>
      </c>
      <c r="C106" s="8" t="s">
        <v>337</v>
      </c>
      <c r="D106" s="8" t="s">
        <v>367</v>
      </c>
      <c r="E106" s="69" t="s">
        <v>368</v>
      </c>
      <c r="F106" s="8" t="s">
        <v>3708</v>
      </c>
      <c r="G106" s="8" t="s">
        <v>58</v>
      </c>
      <c r="H106" s="8" t="s">
        <v>352</v>
      </c>
      <c r="I106" s="9">
        <v>1</v>
      </c>
      <c r="J106" s="9" t="s">
        <v>1090</v>
      </c>
      <c r="K106" s="8" t="s">
        <v>3772</v>
      </c>
      <c r="L106" s="283"/>
      <c r="M106" s="9"/>
      <c r="N106" s="9"/>
      <c r="O106" s="281"/>
      <c r="P106" s="8"/>
      <c r="Q106" s="282"/>
      <c r="R106" s="37"/>
      <c r="S106" s="9"/>
      <c r="T106" s="9"/>
      <c r="U106" s="9"/>
      <c r="V106" s="9"/>
      <c r="W106" s="9"/>
      <c r="X106" s="9"/>
      <c r="Y106" s="9"/>
      <c r="Z106" s="9"/>
      <c r="AA106" s="8"/>
    </row>
    <row r="107" spans="1:27" ht="141.75">
      <c r="A107" s="8" t="s">
        <v>53</v>
      </c>
      <c r="B107" s="29" t="s">
        <v>336</v>
      </c>
      <c r="C107" s="8" t="s">
        <v>337</v>
      </c>
      <c r="D107" s="8" t="s">
        <v>369</v>
      </c>
      <c r="E107" s="69" t="s">
        <v>370</v>
      </c>
      <c r="F107" s="8" t="s">
        <v>3708</v>
      </c>
      <c r="G107" s="8" t="s">
        <v>58</v>
      </c>
      <c r="H107" s="8" t="s">
        <v>352</v>
      </c>
      <c r="I107" s="9">
        <v>1</v>
      </c>
      <c r="J107" s="9" t="s">
        <v>1090</v>
      </c>
      <c r="K107" s="8" t="s">
        <v>3772</v>
      </c>
      <c r="L107" s="283"/>
      <c r="M107" s="9"/>
      <c r="N107" s="9"/>
      <c r="O107" s="281"/>
      <c r="P107" s="8"/>
      <c r="Q107" s="282"/>
      <c r="R107" s="37"/>
      <c r="S107" s="9"/>
      <c r="T107" s="9"/>
      <c r="U107" s="9"/>
      <c r="V107" s="9"/>
      <c r="W107" s="9"/>
      <c r="X107" s="9"/>
      <c r="Y107" s="9"/>
      <c r="Z107" s="9"/>
      <c r="AA107" s="8"/>
    </row>
    <row r="108" spans="1:27" ht="141.75">
      <c r="A108" s="8" t="s">
        <v>53</v>
      </c>
      <c r="B108" s="29" t="s">
        <v>336</v>
      </c>
      <c r="C108" s="8" t="s">
        <v>337</v>
      </c>
      <c r="D108" s="8" t="s">
        <v>371</v>
      </c>
      <c r="E108" s="69" t="s">
        <v>372</v>
      </c>
      <c r="F108" s="8" t="s">
        <v>3708</v>
      </c>
      <c r="G108" s="8" t="s">
        <v>58</v>
      </c>
      <c r="H108" s="8" t="s">
        <v>352</v>
      </c>
      <c r="I108" s="9">
        <v>1</v>
      </c>
      <c r="J108" s="9" t="s">
        <v>1090</v>
      </c>
      <c r="K108" s="8" t="s">
        <v>3772</v>
      </c>
      <c r="L108" s="283"/>
      <c r="M108" s="9"/>
      <c r="N108" s="9"/>
      <c r="O108" s="281"/>
      <c r="P108" s="8"/>
      <c r="Q108" s="282"/>
      <c r="R108" s="37"/>
      <c r="S108" s="9"/>
      <c r="T108" s="9"/>
      <c r="U108" s="9"/>
      <c r="V108" s="9"/>
      <c r="W108" s="9"/>
      <c r="X108" s="9"/>
      <c r="Y108" s="9"/>
      <c r="Z108" s="9"/>
      <c r="AA108" s="8"/>
    </row>
    <row r="109" spans="1:27" ht="141.75">
      <c r="A109" s="8" t="s">
        <v>53</v>
      </c>
      <c r="B109" s="29" t="s">
        <v>336</v>
      </c>
      <c r="C109" s="8" t="s">
        <v>337</v>
      </c>
      <c r="D109" s="8" t="s">
        <v>373</v>
      </c>
      <c r="E109" s="69" t="s">
        <v>374</v>
      </c>
      <c r="F109" s="8" t="s">
        <v>3708</v>
      </c>
      <c r="G109" s="8" t="s">
        <v>58</v>
      </c>
      <c r="H109" s="8" t="s">
        <v>352</v>
      </c>
      <c r="I109" s="9">
        <v>1</v>
      </c>
      <c r="J109" s="9" t="s">
        <v>1090</v>
      </c>
      <c r="K109" s="8" t="s">
        <v>3772</v>
      </c>
      <c r="L109" s="283"/>
      <c r="M109" s="9"/>
      <c r="N109" s="9"/>
      <c r="O109" s="281"/>
      <c r="P109" s="8"/>
      <c r="Q109" s="282"/>
      <c r="R109" s="37"/>
      <c r="S109" s="9"/>
      <c r="T109" s="9"/>
      <c r="U109" s="9"/>
      <c r="V109" s="9"/>
      <c r="W109" s="9"/>
      <c r="X109" s="9"/>
      <c r="Y109" s="9"/>
      <c r="Z109" s="9"/>
      <c r="AA109" s="8"/>
    </row>
    <row r="110" spans="1:27" ht="141.75">
      <c r="A110" s="8" t="s">
        <v>53</v>
      </c>
      <c r="B110" s="29" t="s">
        <v>336</v>
      </c>
      <c r="C110" s="8" t="s">
        <v>337</v>
      </c>
      <c r="D110" s="8" t="s">
        <v>375</v>
      </c>
      <c r="E110" s="69" t="s">
        <v>376</v>
      </c>
      <c r="F110" s="8" t="s">
        <v>3708</v>
      </c>
      <c r="G110" s="8" t="s">
        <v>58</v>
      </c>
      <c r="H110" s="8" t="s">
        <v>352</v>
      </c>
      <c r="I110" s="9">
        <v>1</v>
      </c>
      <c r="J110" s="9" t="s">
        <v>1090</v>
      </c>
      <c r="K110" s="8" t="s">
        <v>3772</v>
      </c>
      <c r="L110" s="283"/>
      <c r="M110" s="9"/>
      <c r="N110" s="9"/>
      <c r="O110" s="281"/>
      <c r="P110" s="8"/>
      <c r="Q110" s="282"/>
      <c r="R110" s="37"/>
      <c r="S110" s="9"/>
      <c r="T110" s="9"/>
      <c r="U110" s="9"/>
      <c r="V110" s="9"/>
      <c r="W110" s="9"/>
      <c r="X110" s="9"/>
      <c r="Y110" s="9"/>
      <c r="Z110" s="9"/>
      <c r="AA110" s="8"/>
    </row>
    <row r="111" spans="1:27" ht="141.75">
      <c r="A111" s="8" t="s">
        <v>53</v>
      </c>
      <c r="B111" s="29" t="s">
        <v>336</v>
      </c>
      <c r="C111" s="8" t="s">
        <v>337</v>
      </c>
      <c r="D111" s="8" t="s">
        <v>377</v>
      </c>
      <c r="E111" s="69" t="s">
        <v>378</v>
      </c>
      <c r="F111" s="8" t="s">
        <v>3708</v>
      </c>
      <c r="G111" s="8" t="s">
        <v>58</v>
      </c>
      <c r="H111" s="8" t="s">
        <v>352</v>
      </c>
      <c r="I111" s="9">
        <v>1</v>
      </c>
      <c r="J111" s="9" t="s">
        <v>1090</v>
      </c>
      <c r="K111" s="8" t="s">
        <v>3772</v>
      </c>
      <c r="L111" s="283"/>
      <c r="M111" s="9"/>
      <c r="N111" s="9"/>
      <c r="O111" s="281"/>
      <c r="P111" s="8"/>
      <c r="Q111" s="282"/>
      <c r="R111" s="37"/>
      <c r="S111" s="9"/>
      <c r="T111" s="9"/>
      <c r="U111" s="9"/>
      <c r="V111" s="9"/>
      <c r="W111" s="9"/>
      <c r="X111" s="9"/>
      <c r="Y111" s="9"/>
      <c r="Z111" s="9"/>
      <c r="AA111" s="8"/>
    </row>
    <row r="112" spans="1:27" ht="141.75">
      <c r="A112" s="8" t="s">
        <v>53</v>
      </c>
      <c r="B112" s="29" t="s">
        <v>336</v>
      </c>
      <c r="C112" s="8" t="s">
        <v>337</v>
      </c>
      <c r="D112" s="8" t="s">
        <v>379</v>
      </c>
      <c r="E112" s="69" t="s">
        <v>380</v>
      </c>
      <c r="F112" s="8" t="s">
        <v>3708</v>
      </c>
      <c r="G112" s="8" t="s">
        <v>58</v>
      </c>
      <c r="H112" s="8" t="s">
        <v>352</v>
      </c>
      <c r="I112" s="9">
        <v>1</v>
      </c>
      <c r="J112" s="9" t="s">
        <v>1090</v>
      </c>
      <c r="K112" s="8" t="s">
        <v>3772</v>
      </c>
      <c r="L112" s="283"/>
      <c r="M112" s="9"/>
      <c r="N112" s="9"/>
      <c r="O112" s="281"/>
      <c r="P112" s="8"/>
      <c r="Q112" s="282"/>
      <c r="R112" s="37"/>
      <c r="S112" s="9"/>
      <c r="T112" s="9"/>
      <c r="U112" s="9"/>
      <c r="V112" s="9"/>
      <c r="W112" s="9"/>
      <c r="X112" s="9"/>
      <c r="Y112" s="9"/>
      <c r="Z112" s="9"/>
      <c r="AA112" s="8"/>
    </row>
    <row r="113" spans="1:27" ht="141.75">
      <c r="A113" s="8" t="s">
        <v>53</v>
      </c>
      <c r="B113" s="29" t="s">
        <v>336</v>
      </c>
      <c r="C113" s="8" t="s">
        <v>337</v>
      </c>
      <c r="D113" s="8" t="s">
        <v>381</v>
      </c>
      <c r="E113" s="69" t="s">
        <v>382</v>
      </c>
      <c r="F113" s="8" t="s">
        <v>3708</v>
      </c>
      <c r="G113" s="8" t="s">
        <v>58</v>
      </c>
      <c r="H113" s="8" t="s">
        <v>352</v>
      </c>
      <c r="I113" s="9">
        <v>1</v>
      </c>
      <c r="J113" s="9" t="s">
        <v>1090</v>
      </c>
      <c r="K113" s="8" t="s">
        <v>3772</v>
      </c>
      <c r="L113" s="283"/>
      <c r="M113" s="9"/>
      <c r="N113" s="9"/>
      <c r="O113" s="281"/>
      <c r="P113" s="8"/>
      <c r="Q113" s="282"/>
      <c r="R113" s="37"/>
      <c r="S113" s="9"/>
      <c r="T113" s="9"/>
      <c r="U113" s="9"/>
      <c r="V113" s="9"/>
      <c r="W113" s="9"/>
      <c r="X113" s="9"/>
      <c r="Y113" s="9"/>
      <c r="Z113" s="9"/>
      <c r="AA113" s="8"/>
    </row>
    <row r="114" spans="1:27" ht="141.75">
      <c r="A114" s="8" t="s">
        <v>53</v>
      </c>
      <c r="B114" s="29" t="s">
        <v>336</v>
      </c>
      <c r="C114" s="8" t="s">
        <v>337</v>
      </c>
      <c r="D114" s="8" t="s">
        <v>383</v>
      </c>
      <c r="E114" s="69" t="s">
        <v>384</v>
      </c>
      <c r="F114" s="8" t="s">
        <v>3708</v>
      </c>
      <c r="G114" s="8" t="s">
        <v>58</v>
      </c>
      <c r="H114" s="8" t="s">
        <v>352</v>
      </c>
      <c r="I114" s="9">
        <v>1</v>
      </c>
      <c r="J114" s="9" t="s">
        <v>1090</v>
      </c>
      <c r="K114" s="8" t="s">
        <v>3772</v>
      </c>
      <c r="L114" s="283"/>
      <c r="M114" s="9"/>
      <c r="N114" s="9"/>
      <c r="O114" s="281"/>
      <c r="P114" s="8"/>
      <c r="Q114" s="282"/>
      <c r="R114" s="37"/>
      <c r="S114" s="9"/>
      <c r="T114" s="9"/>
      <c r="U114" s="9"/>
      <c r="V114" s="9"/>
      <c r="W114" s="9"/>
      <c r="X114" s="9"/>
      <c r="Y114" s="9"/>
      <c r="Z114" s="9"/>
      <c r="AA114" s="8"/>
    </row>
    <row r="115" spans="1:27" ht="141.75">
      <c r="A115" s="8" t="s">
        <v>53</v>
      </c>
      <c r="B115" s="29" t="s">
        <v>336</v>
      </c>
      <c r="C115" s="8" t="s">
        <v>337</v>
      </c>
      <c r="D115" s="8" t="s">
        <v>385</v>
      </c>
      <c r="E115" s="69" t="s">
        <v>386</v>
      </c>
      <c r="F115" s="8" t="s">
        <v>3708</v>
      </c>
      <c r="G115" s="8" t="s">
        <v>58</v>
      </c>
      <c r="H115" s="8" t="s">
        <v>352</v>
      </c>
      <c r="I115" s="9">
        <v>1</v>
      </c>
      <c r="J115" s="9" t="s">
        <v>8</v>
      </c>
      <c r="K115" s="8" t="s">
        <v>3772</v>
      </c>
      <c r="L115" s="283"/>
      <c r="M115" s="9"/>
      <c r="N115" s="9"/>
      <c r="O115" s="281"/>
      <c r="P115" s="8"/>
      <c r="Q115" s="282"/>
      <c r="R115" s="37"/>
      <c r="S115" s="9"/>
      <c r="T115" s="9"/>
      <c r="U115" s="9"/>
      <c r="V115" s="9"/>
      <c r="W115" s="9"/>
      <c r="X115" s="9"/>
      <c r="Y115" s="9"/>
      <c r="Z115" s="9"/>
      <c r="AA115" s="8"/>
    </row>
    <row r="116" spans="1:27" ht="141.75">
      <c r="A116" s="8" t="s">
        <v>53</v>
      </c>
      <c r="B116" s="29" t="s">
        <v>336</v>
      </c>
      <c r="C116" s="8" t="s">
        <v>337</v>
      </c>
      <c r="D116" s="8" t="s">
        <v>387</v>
      </c>
      <c r="E116" s="69" t="s">
        <v>388</v>
      </c>
      <c r="F116" s="8" t="s">
        <v>3708</v>
      </c>
      <c r="G116" s="8" t="s">
        <v>58</v>
      </c>
      <c r="H116" s="8" t="s">
        <v>352</v>
      </c>
      <c r="I116" s="9">
        <v>1</v>
      </c>
      <c r="J116" s="9" t="s">
        <v>1090</v>
      </c>
      <c r="K116" s="8" t="s">
        <v>3772</v>
      </c>
      <c r="L116" s="283"/>
      <c r="M116" s="9"/>
      <c r="N116" s="9"/>
      <c r="O116" s="281"/>
      <c r="P116" s="8"/>
      <c r="Q116" s="282"/>
      <c r="R116" s="37"/>
      <c r="S116" s="9"/>
      <c r="T116" s="9"/>
      <c r="U116" s="9"/>
      <c r="V116" s="9"/>
      <c r="W116" s="9"/>
      <c r="X116" s="9"/>
      <c r="Y116" s="9"/>
      <c r="Z116" s="9"/>
      <c r="AA116" s="8"/>
    </row>
    <row r="117" spans="1:27" ht="141.75">
      <c r="A117" s="8" t="s">
        <v>53</v>
      </c>
      <c r="B117" s="29" t="s">
        <v>336</v>
      </c>
      <c r="C117" s="8" t="s">
        <v>337</v>
      </c>
      <c r="D117" s="8" t="s">
        <v>389</v>
      </c>
      <c r="E117" s="69" t="s">
        <v>390</v>
      </c>
      <c r="F117" s="8" t="s">
        <v>3708</v>
      </c>
      <c r="G117" s="8" t="s">
        <v>58</v>
      </c>
      <c r="H117" s="8" t="s">
        <v>352</v>
      </c>
      <c r="I117" s="9">
        <v>1</v>
      </c>
      <c r="J117" s="9" t="s">
        <v>1090</v>
      </c>
      <c r="K117" s="8" t="s">
        <v>3772</v>
      </c>
      <c r="L117" s="283"/>
      <c r="M117" s="9"/>
      <c r="N117" s="9"/>
      <c r="O117" s="281"/>
      <c r="P117" s="8"/>
      <c r="Q117" s="282"/>
      <c r="R117" s="37"/>
      <c r="S117" s="9"/>
      <c r="T117" s="9"/>
      <c r="U117" s="9"/>
      <c r="V117" s="9"/>
      <c r="W117" s="9"/>
      <c r="X117" s="9"/>
      <c r="Y117" s="9"/>
      <c r="Z117" s="9"/>
      <c r="AA117" s="8"/>
    </row>
    <row r="118" spans="1:27" ht="141.75">
      <c r="A118" s="8" t="s">
        <v>53</v>
      </c>
      <c r="B118" s="29" t="s">
        <v>336</v>
      </c>
      <c r="C118" s="8" t="s">
        <v>337</v>
      </c>
      <c r="D118" s="8" t="s">
        <v>391</v>
      </c>
      <c r="E118" s="69" t="s">
        <v>392</v>
      </c>
      <c r="F118" s="8" t="s">
        <v>3708</v>
      </c>
      <c r="G118" s="8" t="s">
        <v>58</v>
      </c>
      <c r="H118" s="8" t="s">
        <v>352</v>
      </c>
      <c r="I118" s="9">
        <v>1</v>
      </c>
      <c r="J118" s="9" t="s">
        <v>1090</v>
      </c>
      <c r="K118" s="8" t="s">
        <v>3772</v>
      </c>
      <c r="L118" s="283"/>
      <c r="M118" s="9"/>
      <c r="N118" s="9"/>
      <c r="O118" s="281"/>
      <c r="P118" s="8"/>
      <c r="Q118" s="282"/>
      <c r="R118" s="37"/>
      <c r="S118" s="9"/>
      <c r="T118" s="9"/>
      <c r="U118" s="9"/>
      <c r="V118" s="9"/>
      <c r="W118" s="9"/>
      <c r="X118" s="9"/>
      <c r="Y118" s="9"/>
      <c r="Z118" s="9"/>
      <c r="AA118" s="8"/>
    </row>
    <row r="119" spans="1:27" ht="94.5">
      <c r="A119" s="8" t="s">
        <v>53</v>
      </c>
      <c r="B119" s="29" t="s">
        <v>336</v>
      </c>
      <c r="C119" s="8" t="s">
        <v>337</v>
      </c>
      <c r="D119" s="8" t="s">
        <v>393</v>
      </c>
      <c r="E119" s="69" t="s">
        <v>394</v>
      </c>
      <c r="F119" s="8" t="s">
        <v>3710</v>
      </c>
      <c r="G119" s="8" t="s">
        <v>58</v>
      </c>
      <c r="H119" s="8" t="s">
        <v>352</v>
      </c>
      <c r="I119" s="9">
        <v>1</v>
      </c>
      <c r="J119" s="9" t="s">
        <v>1090</v>
      </c>
      <c r="K119" s="8" t="s">
        <v>3772</v>
      </c>
      <c r="L119" s="283"/>
      <c r="M119" s="9"/>
      <c r="N119" s="9"/>
      <c r="O119" s="281"/>
      <c r="P119" s="8"/>
      <c r="Q119" s="282"/>
      <c r="R119" s="37"/>
      <c r="S119" s="9"/>
      <c r="T119" s="9"/>
      <c r="U119" s="9"/>
      <c r="V119" s="9"/>
      <c r="W119" s="9"/>
      <c r="X119" s="9"/>
      <c r="Y119" s="9"/>
      <c r="Z119" s="9"/>
      <c r="AA119" s="8"/>
    </row>
    <row r="120" spans="1:27" ht="94.5">
      <c r="A120" s="8" t="s">
        <v>53</v>
      </c>
      <c r="B120" s="29" t="s">
        <v>336</v>
      </c>
      <c r="C120" s="8" t="s">
        <v>337</v>
      </c>
      <c r="D120" s="8" t="s">
        <v>395</v>
      </c>
      <c r="E120" s="69" t="s">
        <v>396</v>
      </c>
      <c r="F120" s="8" t="s">
        <v>3710</v>
      </c>
      <c r="G120" s="8" t="s">
        <v>58</v>
      </c>
      <c r="H120" s="8" t="s">
        <v>352</v>
      </c>
      <c r="I120" s="9">
        <v>1</v>
      </c>
      <c r="J120" s="9" t="s">
        <v>1090</v>
      </c>
      <c r="K120" s="8" t="s">
        <v>3772</v>
      </c>
      <c r="L120" s="283"/>
      <c r="M120" s="9"/>
      <c r="N120" s="9"/>
      <c r="O120" s="281"/>
      <c r="P120" s="8"/>
      <c r="Q120" s="282"/>
      <c r="R120" s="37"/>
      <c r="S120" s="9"/>
      <c r="T120" s="9"/>
      <c r="U120" s="9"/>
      <c r="V120" s="9"/>
      <c r="W120" s="9"/>
      <c r="X120" s="9"/>
      <c r="Y120" s="9"/>
      <c r="Z120" s="9"/>
      <c r="AA120" s="8"/>
    </row>
    <row r="121" spans="1:27" ht="141.75">
      <c r="A121" s="8" t="s">
        <v>53</v>
      </c>
      <c r="B121" s="29" t="s">
        <v>336</v>
      </c>
      <c r="C121" s="8" t="s">
        <v>337</v>
      </c>
      <c r="D121" s="8" t="s">
        <v>397</v>
      </c>
      <c r="E121" s="69" t="s">
        <v>398</v>
      </c>
      <c r="F121" s="8" t="s">
        <v>3708</v>
      </c>
      <c r="G121" s="8" t="s">
        <v>58</v>
      </c>
      <c r="H121" s="8" t="s">
        <v>352</v>
      </c>
      <c r="I121" s="9">
        <v>1</v>
      </c>
      <c r="J121" s="9" t="s">
        <v>1090</v>
      </c>
      <c r="K121" s="8" t="s">
        <v>3772</v>
      </c>
      <c r="L121" s="283"/>
      <c r="M121" s="9"/>
      <c r="N121" s="9"/>
      <c r="O121" s="281"/>
      <c r="P121" s="8"/>
      <c r="Q121" s="282"/>
      <c r="R121" s="37"/>
      <c r="S121" s="9"/>
      <c r="T121" s="9"/>
      <c r="U121" s="9"/>
      <c r="V121" s="9"/>
      <c r="W121" s="9"/>
      <c r="X121" s="9"/>
      <c r="Y121" s="9"/>
      <c r="Z121" s="9"/>
      <c r="AA121" s="8"/>
    </row>
    <row r="122" spans="1:27" ht="141.75">
      <c r="A122" s="8" t="s">
        <v>53</v>
      </c>
      <c r="B122" s="29" t="s">
        <v>336</v>
      </c>
      <c r="C122" s="8" t="s">
        <v>337</v>
      </c>
      <c r="D122" s="8" t="s">
        <v>399</v>
      </c>
      <c r="E122" s="69" t="s">
        <v>400</v>
      </c>
      <c r="F122" s="8" t="s">
        <v>3710</v>
      </c>
      <c r="G122" s="8" t="s">
        <v>58</v>
      </c>
      <c r="H122" s="8" t="s">
        <v>352</v>
      </c>
      <c r="I122" s="9">
        <v>1</v>
      </c>
      <c r="J122" s="9" t="s">
        <v>1090</v>
      </c>
      <c r="K122" s="9" t="s">
        <v>3774</v>
      </c>
      <c r="L122" s="283"/>
      <c r="M122" s="9"/>
      <c r="N122" s="9"/>
      <c r="O122" s="281"/>
      <c r="P122" s="8"/>
      <c r="Q122" s="282"/>
      <c r="R122" s="37"/>
      <c r="S122" s="9"/>
      <c r="T122" s="9"/>
      <c r="U122" s="9"/>
      <c r="V122" s="9"/>
      <c r="W122" s="9"/>
      <c r="X122" s="9"/>
      <c r="Y122" s="9"/>
      <c r="Z122" s="9"/>
      <c r="AA122" s="8"/>
    </row>
    <row r="123" spans="1:27" ht="78.75">
      <c r="A123" s="8" t="s">
        <v>53</v>
      </c>
      <c r="B123" s="29" t="s">
        <v>336</v>
      </c>
      <c r="C123" s="8" t="s">
        <v>337</v>
      </c>
      <c r="D123" s="8" t="s">
        <v>401</v>
      </c>
      <c r="E123" s="69" t="s">
        <v>402</v>
      </c>
      <c r="F123" s="8" t="s">
        <v>3775</v>
      </c>
      <c r="G123" s="8" t="s">
        <v>58</v>
      </c>
      <c r="H123" s="8" t="s">
        <v>352</v>
      </c>
      <c r="I123" s="9">
        <v>1</v>
      </c>
      <c r="J123" s="9" t="s">
        <v>1090</v>
      </c>
      <c r="K123" s="9" t="s">
        <v>3776</v>
      </c>
      <c r="L123" s="283"/>
      <c r="M123" s="9"/>
      <c r="N123" s="9"/>
      <c r="O123" s="281"/>
      <c r="P123" s="8"/>
      <c r="Q123" s="282"/>
      <c r="R123" s="37"/>
      <c r="S123" s="9"/>
      <c r="T123" s="9"/>
      <c r="U123" s="9"/>
      <c r="V123" s="9"/>
      <c r="W123" s="9"/>
      <c r="X123" s="9"/>
      <c r="Y123" s="9"/>
      <c r="Z123" s="9"/>
      <c r="AA123" s="8"/>
    </row>
    <row r="124" spans="1:27" ht="94.5">
      <c r="A124" s="8" t="s">
        <v>53</v>
      </c>
      <c r="B124" s="29" t="s">
        <v>336</v>
      </c>
      <c r="C124" s="8" t="s">
        <v>337</v>
      </c>
      <c r="D124" s="8" t="s">
        <v>403</v>
      </c>
      <c r="E124" s="69" t="s">
        <v>404</v>
      </c>
      <c r="F124" s="8" t="s">
        <v>3710</v>
      </c>
      <c r="G124" s="8" t="s">
        <v>58</v>
      </c>
      <c r="H124" s="8" t="s">
        <v>352</v>
      </c>
      <c r="I124" s="9">
        <v>1</v>
      </c>
      <c r="J124" s="9" t="s">
        <v>1090</v>
      </c>
      <c r="K124" s="8" t="s">
        <v>3772</v>
      </c>
      <c r="L124" s="283"/>
      <c r="M124" s="9"/>
      <c r="N124" s="9"/>
      <c r="O124" s="281"/>
      <c r="P124" s="8"/>
      <c r="Q124" s="282"/>
      <c r="R124" s="37"/>
      <c r="S124" s="9"/>
      <c r="T124" s="9"/>
      <c r="U124" s="9"/>
      <c r="V124" s="9"/>
      <c r="W124" s="9"/>
      <c r="X124" s="9"/>
      <c r="Y124" s="9"/>
      <c r="Z124" s="9"/>
      <c r="AA124" s="8"/>
    </row>
    <row r="125" spans="1:27" ht="56.25">
      <c r="A125" s="8" t="s">
        <v>53</v>
      </c>
      <c r="B125" s="29" t="s">
        <v>336</v>
      </c>
      <c r="C125" s="8" t="s">
        <v>337</v>
      </c>
      <c r="D125" s="8" t="s">
        <v>405</v>
      </c>
      <c r="E125" s="69" t="s">
        <v>406</v>
      </c>
      <c r="F125" s="8"/>
      <c r="G125" s="8" t="s">
        <v>58</v>
      </c>
      <c r="H125" s="8" t="s">
        <v>352</v>
      </c>
      <c r="I125" s="9">
        <v>1</v>
      </c>
      <c r="J125" s="9" t="s">
        <v>8</v>
      </c>
      <c r="K125" s="9"/>
      <c r="L125" s="283"/>
      <c r="M125" s="9"/>
      <c r="N125" s="9"/>
      <c r="O125" s="281"/>
      <c r="P125" s="8"/>
      <c r="Q125" s="282"/>
      <c r="R125" s="37"/>
      <c r="S125" s="9"/>
      <c r="T125" s="9"/>
      <c r="U125" s="9"/>
      <c r="V125" s="9"/>
      <c r="W125" s="9"/>
      <c r="X125" s="9"/>
      <c r="Y125" s="9"/>
      <c r="Z125" s="9"/>
      <c r="AA125" s="8"/>
    </row>
    <row r="126" spans="1:27" ht="94.5">
      <c r="A126" s="8" t="s">
        <v>53</v>
      </c>
      <c r="B126" s="29" t="s">
        <v>336</v>
      </c>
      <c r="C126" s="8" t="s">
        <v>337</v>
      </c>
      <c r="D126" s="8" t="s">
        <v>407</v>
      </c>
      <c r="E126" s="69" t="s">
        <v>408</v>
      </c>
      <c r="F126" s="8" t="s">
        <v>3710</v>
      </c>
      <c r="G126" s="8" t="s">
        <v>58</v>
      </c>
      <c r="H126" s="8" t="s">
        <v>352</v>
      </c>
      <c r="I126" s="9">
        <v>1</v>
      </c>
      <c r="J126" s="9" t="s">
        <v>1090</v>
      </c>
      <c r="K126" s="8" t="s">
        <v>3772</v>
      </c>
      <c r="L126" s="283"/>
      <c r="M126" s="9"/>
      <c r="N126" s="9"/>
      <c r="O126" s="281"/>
      <c r="P126" s="8"/>
      <c r="Q126" s="282"/>
      <c r="R126" s="37"/>
      <c r="S126" s="9"/>
      <c r="T126" s="9"/>
      <c r="U126" s="9"/>
      <c r="V126" s="9"/>
      <c r="W126" s="9"/>
      <c r="X126" s="9"/>
      <c r="Y126" s="9"/>
      <c r="Z126" s="9"/>
      <c r="AA126" s="8"/>
    </row>
    <row r="127" spans="1:27" ht="56.25">
      <c r="A127" s="8" t="s">
        <v>53</v>
      </c>
      <c r="B127" s="29" t="s">
        <v>336</v>
      </c>
      <c r="C127" s="8" t="s">
        <v>337</v>
      </c>
      <c r="D127" s="8" t="s">
        <v>409</v>
      </c>
      <c r="E127" s="69" t="s">
        <v>410</v>
      </c>
      <c r="F127" s="8"/>
      <c r="G127" s="8" t="s">
        <v>58</v>
      </c>
      <c r="H127" s="8" t="s">
        <v>352</v>
      </c>
      <c r="I127" s="9">
        <v>1</v>
      </c>
      <c r="J127" s="9" t="s">
        <v>8</v>
      </c>
      <c r="K127" s="9"/>
      <c r="L127" s="283"/>
      <c r="M127" s="9"/>
      <c r="N127" s="9"/>
      <c r="O127" s="281"/>
      <c r="P127" s="8"/>
      <c r="Q127" s="282"/>
      <c r="R127" s="37"/>
      <c r="S127" s="9"/>
      <c r="T127" s="9"/>
      <c r="U127" s="9"/>
      <c r="V127" s="9"/>
      <c r="W127" s="9"/>
      <c r="X127" s="9"/>
      <c r="Y127" s="9"/>
      <c r="Z127" s="9"/>
      <c r="AA127" s="8"/>
    </row>
    <row r="128" spans="1:27" ht="94.5">
      <c r="A128" s="8" t="s">
        <v>53</v>
      </c>
      <c r="B128" s="29" t="s">
        <v>336</v>
      </c>
      <c r="C128" s="8" t="s">
        <v>337</v>
      </c>
      <c r="D128" s="8" t="s">
        <v>411</v>
      </c>
      <c r="E128" s="69" t="s">
        <v>412</v>
      </c>
      <c r="F128" s="8" t="s">
        <v>3710</v>
      </c>
      <c r="G128" s="8" t="s">
        <v>58</v>
      </c>
      <c r="H128" s="8" t="s">
        <v>352</v>
      </c>
      <c r="I128" s="9">
        <v>1</v>
      </c>
      <c r="J128" s="9" t="s">
        <v>1090</v>
      </c>
      <c r="K128" s="8" t="s">
        <v>3772</v>
      </c>
      <c r="L128" s="283"/>
      <c r="M128" s="9"/>
      <c r="N128" s="9"/>
      <c r="O128" s="281"/>
      <c r="P128" s="8"/>
      <c r="Q128" s="282"/>
      <c r="R128" s="37"/>
      <c r="S128" s="9"/>
      <c r="T128" s="9"/>
      <c r="U128" s="9"/>
      <c r="V128" s="9"/>
      <c r="W128" s="9"/>
      <c r="X128" s="9"/>
      <c r="Y128" s="9"/>
      <c r="Z128" s="9"/>
      <c r="AA128" s="8"/>
    </row>
    <row r="129" spans="1:27" ht="345.75" customHeight="1">
      <c r="A129" s="8" t="s">
        <v>53</v>
      </c>
      <c r="B129" s="29" t="s">
        <v>336</v>
      </c>
      <c r="C129" s="8" t="s">
        <v>413</v>
      </c>
      <c r="D129" s="8" t="s">
        <v>414</v>
      </c>
      <c r="E129" s="8" t="s">
        <v>415</v>
      </c>
      <c r="F129" s="8" t="s">
        <v>3708</v>
      </c>
      <c r="G129" s="8" t="s">
        <v>62</v>
      </c>
      <c r="H129" s="8" t="s">
        <v>416</v>
      </c>
      <c r="I129" s="8">
        <v>6</v>
      </c>
      <c r="J129" s="8" t="s">
        <v>1090</v>
      </c>
      <c r="K129" s="8" t="s">
        <v>3772</v>
      </c>
      <c r="L129" s="283"/>
      <c r="M129" s="8"/>
      <c r="N129" s="8"/>
      <c r="O129" s="281"/>
      <c r="P129" s="8"/>
      <c r="Q129" s="132"/>
      <c r="R129" s="38"/>
      <c r="S129" s="8"/>
      <c r="T129" s="8"/>
      <c r="U129" s="8"/>
      <c r="V129" s="8"/>
      <c r="W129" s="8"/>
      <c r="X129" s="8"/>
      <c r="Y129" s="8"/>
      <c r="Z129" s="8"/>
      <c r="AA129" s="8"/>
    </row>
    <row r="130" spans="1:27" ht="94.5">
      <c r="A130" s="8" t="s">
        <v>53</v>
      </c>
      <c r="B130" s="29" t="s">
        <v>336</v>
      </c>
      <c r="C130" s="8" t="s">
        <v>413</v>
      </c>
      <c r="D130" s="8" t="s">
        <v>417</v>
      </c>
      <c r="E130" s="8" t="s">
        <v>418</v>
      </c>
      <c r="F130" s="8" t="s">
        <v>3710</v>
      </c>
      <c r="G130" s="8" t="s">
        <v>62</v>
      </c>
      <c r="H130" s="8" t="s">
        <v>419</v>
      </c>
      <c r="I130" s="8" t="s">
        <v>420</v>
      </c>
      <c r="J130" s="8" t="s">
        <v>1090</v>
      </c>
      <c r="K130" s="8" t="s">
        <v>3772</v>
      </c>
      <c r="L130" s="283"/>
      <c r="M130" s="8"/>
      <c r="N130" s="8"/>
      <c r="O130" s="281"/>
      <c r="P130" s="8"/>
      <c r="Q130" s="132"/>
      <c r="R130" s="38"/>
      <c r="S130" s="8"/>
      <c r="T130" s="8"/>
      <c r="U130" s="8"/>
      <c r="V130" s="8"/>
      <c r="W130" s="8"/>
      <c r="X130" s="8"/>
      <c r="Y130" s="8"/>
      <c r="Z130" s="8"/>
      <c r="AA130" s="8"/>
    </row>
    <row r="131" spans="1:27" ht="63">
      <c r="A131" s="8" t="s">
        <v>53</v>
      </c>
      <c r="B131" s="29" t="s">
        <v>336</v>
      </c>
      <c r="C131" s="8" t="s">
        <v>413</v>
      </c>
      <c r="D131" s="8" t="s">
        <v>421</v>
      </c>
      <c r="E131" s="8" t="s">
        <v>422</v>
      </c>
      <c r="F131" s="20"/>
      <c r="G131" s="20" t="s">
        <v>58</v>
      </c>
      <c r="H131" s="20"/>
      <c r="I131" s="22"/>
      <c r="J131" s="20"/>
      <c r="K131" s="20"/>
      <c r="L131" s="278"/>
      <c r="M131" s="20"/>
      <c r="N131" s="20"/>
      <c r="O131" s="279"/>
      <c r="P131" s="20"/>
      <c r="Q131" s="132"/>
      <c r="R131" s="39"/>
      <c r="S131" s="20"/>
      <c r="T131" s="20"/>
      <c r="U131" s="20"/>
      <c r="V131" s="20"/>
      <c r="W131" s="20"/>
      <c r="X131" s="20"/>
      <c r="Y131" s="20"/>
      <c r="Z131" s="20"/>
      <c r="AA131" s="20"/>
    </row>
    <row r="132" spans="1:27" ht="141.75">
      <c r="A132" s="8" t="s">
        <v>53</v>
      </c>
      <c r="B132" s="29" t="s">
        <v>336</v>
      </c>
      <c r="C132" s="8" t="s">
        <v>413</v>
      </c>
      <c r="D132" s="8" t="s">
        <v>423</v>
      </c>
      <c r="E132" s="69" t="s">
        <v>424</v>
      </c>
      <c r="F132" s="8" t="s">
        <v>3708</v>
      </c>
      <c r="G132" s="8" t="s">
        <v>58</v>
      </c>
      <c r="H132" s="8" t="s">
        <v>425</v>
      </c>
      <c r="I132" s="8" t="s">
        <v>210</v>
      </c>
      <c r="J132" s="8" t="s">
        <v>1191</v>
      </c>
      <c r="K132" s="8" t="s">
        <v>3777</v>
      </c>
      <c r="L132" s="283"/>
      <c r="M132" s="8" t="s">
        <v>11</v>
      </c>
      <c r="N132" s="8"/>
      <c r="O132" s="281"/>
      <c r="P132" s="8"/>
      <c r="Q132" s="132"/>
      <c r="R132" s="38"/>
      <c r="S132" s="8"/>
      <c r="T132" s="8"/>
      <c r="U132" s="8"/>
      <c r="V132" s="8"/>
      <c r="W132" s="8"/>
      <c r="X132" s="8"/>
      <c r="Y132" s="8"/>
      <c r="Z132" s="8"/>
      <c r="AA132" s="8"/>
    </row>
    <row r="133" spans="1:27" ht="141.75">
      <c r="A133" s="8" t="s">
        <v>53</v>
      </c>
      <c r="B133" s="29" t="s">
        <v>336</v>
      </c>
      <c r="C133" s="8" t="s">
        <v>413</v>
      </c>
      <c r="D133" s="8" t="s">
        <v>426</v>
      </c>
      <c r="E133" s="69" t="s">
        <v>427</v>
      </c>
      <c r="F133" s="8" t="s">
        <v>3708</v>
      </c>
      <c r="G133" s="8" t="s">
        <v>58</v>
      </c>
      <c r="H133" s="8" t="s">
        <v>428</v>
      </c>
      <c r="I133" s="8" t="s">
        <v>210</v>
      </c>
      <c r="J133" s="8" t="s">
        <v>1191</v>
      </c>
      <c r="K133" s="8" t="s">
        <v>3778</v>
      </c>
      <c r="L133" s="283"/>
      <c r="M133" s="8" t="s">
        <v>11</v>
      </c>
      <c r="N133" s="8"/>
      <c r="O133" s="281"/>
      <c r="P133" s="8"/>
      <c r="Q133" s="132"/>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283"/>
      <c r="M134" s="8"/>
      <c r="N134" s="8"/>
      <c r="O134" s="281"/>
      <c r="P134" s="8"/>
      <c r="Q134" s="132"/>
      <c r="R134" s="38"/>
      <c r="S134" s="8"/>
      <c r="T134" s="8"/>
      <c r="U134" s="8"/>
      <c r="V134" s="8"/>
      <c r="W134" s="8"/>
      <c r="X134" s="8"/>
      <c r="Y134" s="8"/>
      <c r="Z134" s="8"/>
      <c r="AA134" s="8"/>
    </row>
    <row r="135" spans="1:27" ht="78.75">
      <c r="A135" s="8" t="s">
        <v>53</v>
      </c>
      <c r="B135" s="29" t="s">
        <v>336</v>
      </c>
      <c r="C135" s="8" t="s">
        <v>429</v>
      </c>
      <c r="D135" s="8" t="s">
        <v>433</v>
      </c>
      <c r="E135" s="8" t="s">
        <v>434</v>
      </c>
      <c r="F135" s="20"/>
      <c r="G135" s="20" t="s">
        <v>58</v>
      </c>
      <c r="H135" s="20" t="s">
        <v>435</v>
      </c>
      <c r="I135" s="22" t="s">
        <v>210</v>
      </c>
      <c r="J135" s="20"/>
      <c r="K135" s="20"/>
      <c r="L135" s="278"/>
      <c r="M135" s="20"/>
      <c r="N135" s="20"/>
      <c r="O135" s="279"/>
      <c r="P135" s="20"/>
      <c r="Q135" s="132"/>
      <c r="R135" s="39"/>
      <c r="S135" s="20"/>
      <c r="T135" s="20"/>
      <c r="U135" s="20"/>
      <c r="V135" s="20"/>
      <c r="W135" s="20"/>
      <c r="X135" s="20"/>
      <c r="Y135" s="20"/>
      <c r="Z135" s="20"/>
      <c r="AA135" s="20"/>
    </row>
    <row r="136" spans="1:27" ht="141.75">
      <c r="A136" s="8" t="s">
        <v>53</v>
      </c>
      <c r="B136" s="29" t="s">
        <v>336</v>
      </c>
      <c r="C136" s="8" t="s">
        <v>429</v>
      </c>
      <c r="D136" s="8" t="s">
        <v>436</v>
      </c>
      <c r="E136" s="69" t="s">
        <v>437</v>
      </c>
      <c r="F136" s="8" t="s">
        <v>3708</v>
      </c>
      <c r="G136" s="8" t="s">
        <v>58</v>
      </c>
      <c r="H136" s="8" t="s">
        <v>435</v>
      </c>
      <c r="I136" s="8" t="s">
        <v>210</v>
      </c>
      <c r="J136" s="8" t="s">
        <v>1090</v>
      </c>
      <c r="K136" s="8" t="s">
        <v>3779</v>
      </c>
      <c r="L136" s="283"/>
      <c r="M136" s="8"/>
      <c r="N136" s="8"/>
      <c r="O136" s="281"/>
      <c r="P136" s="8"/>
      <c r="Q136" s="132"/>
      <c r="R136" s="38"/>
      <c r="S136" s="8"/>
      <c r="T136" s="8"/>
      <c r="U136" s="8"/>
      <c r="V136" s="8"/>
      <c r="W136" s="8"/>
      <c r="X136" s="8"/>
      <c r="Y136" s="8"/>
      <c r="Z136" s="8"/>
      <c r="AA136" s="8"/>
    </row>
    <row r="137" spans="1:27" ht="141.75">
      <c r="A137" s="8" t="s">
        <v>53</v>
      </c>
      <c r="B137" s="29" t="s">
        <v>336</v>
      </c>
      <c r="C137" s="8" t="s">
        <v>429</v>
      </c>
      <c r="D137" s="8" t="s">
        <v>438</v>
      </c>
      <c r="E137" s="69" t="s">
        <v>439</v>
      </c>
      <c r="F137" s="8" t="s">
        <v>3708</v>
      </c>
      <c r="G137" s="8" t="s">
        <v>58</v>
      </c>
      <c r="H137" s="8" t="s">
        <v>435</v>
      </c>
      <c r="I137" s="8" t="s">
        <v>210</v>
      </c>
      <c r="J137" s="8" t="s">
        <v>1090</v>
      </c>
      <c r="K137" s="8" t="s">
        <v>3780</v>
      </c>
      <c r="L137" s="283"/>
      <c r="M137" s="8"/>
      <c r="N137" s="8"/>
      <c r="O137" s="281"/>
      <c r="P137" s="8"/>
      <c r="Q137" s="132"/>
      <c r="R137" s="38"/>
      <c r="S137" s="8"/>
      <c r="T137" s="8"/>
      <c r="U137" s="8"/>
      <c r="V137" s="8"/>
      <c r="W137" s="8"/>
      <c r="X137" s="8"/>
      <c r="Y137" s="8"/>
      <c r="Z137" s="8"/>
      <c r="AA137" s="8"/>
    </row>
    <row r="138" spans="1:27" ht="378">
      <c r="A138" s="8" t="s">
        <v>53</v>
      </c>
      <c r="B138" s="29" t="s">
        <v>336</v>
      </c>
      <c r="C138" s="8" t="s">
        <v>429</v>
      </c>
      <c r="D138" s="8" t="s">
        <v>440</v>
      </c>
      <c r="E138" s="69" t="s">
        <v>441</v>
      </c>
      <c r="F138" s="8" t="s">
        <v>3708</v>
      </c>
      <c r="G138" s="8" t="s">
        <v>58</v>
      </c>
      <c r="H138" s="8" t="s">
        <v>435</v>
      </c>
      <c r="I138" s="8" t="s">
        <v>210</v>
      </c>
      <c r="J138" s="8" t="s">
        <v>1090</v>
      </c>
      <c r="K138" s="8" t="s">
        <v>3781</v>
      </c>
      <c r="L138" s="283"/>
      <c r="M138" s="8"/>
      <c r="N138" s="8"/>
      <c r="O138" s="281"/>
      <c r="P138" s="8"/>
      <c r="Q138" s="132"/>
      <c r="R138" s="38"/>
      <c r="S138" s="8"/>
      <c r="T138" s="8"/>
      <c r="U138" s="8"/>
      <c r="V138" s="8"/>
      <c r="W138" s="8"/>
      <c r="X138" s="8"/>
      <c r="Y138" s="8"/>
      <c r="Z138" s="8"/>
      <c r="AA138" s="8"/>
    </row>
    <row r="139" spans="1:27" ht="141.75">
      <c r="A139" s="8" t="s">
        <v>53</v>
      </c>
      <c r="B139" s="29" t="s">
        <v>336</v>
      </c>
      <c r="C139" s="8" t="s">
        <v>429</v>
      </c>
      <c r="D139" s="8" t="s">
        <v>442</v>
      </c>
      <c r="E139" s="69" t="s">
        <v>443</v>
      </c>
      <c r="F139" s="8" t="s">
        <v>3708</v>
      </c>
      <c r="G139" s="8" t="s">
        <v>58</v>
      </c>
      <c r="H139" s="8" t="s">
        <v>435</v>
      </c>
      <c r="I139" s="8" t="s">
        <v>210</v>
      </c>
      <c r="J139" s="8" t="s">
        <v>1090</v>
      </c>
      <c r="K139" s="8" t="s">
        <v>3780</v>
      </c>
      <c r="L139" s="283"/>
      <c r="M139" s="8"/>
      <c r="N139" s="8"/>
      <c r="O139" s="281"/>
      <c r="P139" s="8"/>
      <c r="Q139" s="132"/>
      <c r="R139" s="38"/>
      <c r="S139" s="8"/>
      <c r="T139" s="8"/>
      <c r="U139" s="8"/>
      <c r="V139" s="8"/>
      <c r="W139" s="8"/>
      <c r="X139" s="8"/>
      <c r="Y139" s="8"/>
      <c r="Z139" s="8"/>
      <c r="AA139" s="8"/>
    </row>
    <row r="140" spans="1:27" ht="141.75">
      <c r="A140" s="8" t="s">
        <v>53</v>
      </c>
      <c r="B140" s="29" t="s">
        <v>336</v>
      </c>
      <c r="C140" s="8" t="s">
        <v>429</v>
      </c>
      <c r="D140" s="8" t="s">
        <v>444</v>
      </c>
      <c r="E140" s="69" t="s">
        <v>445</v>
      </c>
      <c r="F140" s="8" t="s">
        <v>3708</v>
      </c>
      <c r="G140" s="8" t="s">
        <v>58</v>
      </c>
      <c r="H140" s="8" t="s">
        <v>435</v>
      </c>
      <c r="I140" s="8" t="s">
        <v>210</v>
      </c>
      <c r="J140" s="8" t="s">
        <v>1191</v>
      </c>
      <c r="K140" s="8" t="s">
        <v>3780</v>
      </c>
      <c r="L140" s="283"/>
      <c r="M140" s="8" t="s">
        <v>9</v>
      </c>
      <c r="N140" s="8"/>
      <c r="O140" s="281"/>
      <c r="P140" s="8"/>
      <c r="Q140" s="132"/>
      <c r="R140" s="38"/>
      <c r="S140" s="8"/>
      <c r="T140" s="8"/>
      <c r="U140" s="8"/>
      <c r="V140" s="8"/>
      <c r="W140" s="8"/>
      <c r="X140" s="8"/>
      <c r="Y140" s="8"/>
      <c r="Z140" s="8"/>
      <c r="AA140" s="8"/>
    </row>
    <row r="141" spans="1:27" ht="141.75">
      <c r="A141" s="8" t="s">
        <v>53</v>
      </c>
      <c r="B141" s="29" t="s">
        <v>336</v>
      </c>
      <c r="C141" s="8" t="s">
        <v>429</v>
      </c>
      <c r="D141" s="8" t="s">
        <v>446</v>
      </c>
      <c r="E141" s="69" t="s">
        <v>447</v>
      </c>
      <c r="F141" s="8" t="s">
        <v>3708</v>
      </c>
      <c r="G141" s="8" t="s">
        <v>58</v>
      </c>
      <c r="H141" s="8" t="s">
        <v>435</v>
      </c>
      <c r="I141" s="8" t="s">
        <v>210</v>
      </c>
      <c r="J141" s="8" t="s">
        <v>1191</v>
      </c>
      <c r="K141" s="8" t="s">
        <v>3780</v>
      </c>
      <c r="L141" s="283"/>
      <c r="M141" s="8" t="s">
        <v>9</v>
      </c>
      <c r="N141" s="8"/>
      <c r="O141" s="281"/>
      <c r="P141" s="8"/>
      <c r="Q141" s="132"/>
      <c r="R141" s="38"/>
      <c r="S141" s="8"/>
      <c r="T141" s="8"/>
      <c r="U141" s="8"/>
      <c r="V141" s="8"/>
      <c r="W141" s="8"/>
      <c r="X141" s="8"/>
      <c r="Y141" s="8"/>
      <c r="Z141" s="8"/>
      <c r="AA141" s="8"/>
    </row>
    <row r="142" spans="1:27" ht="78.75">
      <c r="A142" s="8" t="s">
        <v>53</v>
      </c>
      <c r="B142" s="29" t="s">
        <v>336</v>
      </c>
      <c r="C142" s="8" t="s">
        <v>429</v>
      </c>
      <c r="D142" s="8" t="s">
        <v>448</v>
      </c>
      <c r="E142" s="8" t="s">
        <v>449</v>
      </c>
      <c r="F142" s="20"/>
      <c r="G142" s="20" t="s">
        <v>58</v>
      </c>
      <c r="H142" s="20" t="s">
        <v>450</v>
      </c>
      <c r="I142" s="22" t="s">
        <v>210</v>
      </c>
      <c r="J142" s="20"/>
      <c r="K142" s="20"/>
      <c r="L142" s="278"/>
      <c r="M142" s="20"/>
      <c r="N142" s="20"/>
      <c r="O142" s="279"/>
      <c r="P142" s="20"/>
      <c r="Q142" s="132"/>
      <c r="R142" s="39"/>
      <c r="S142" s="20"/>
      <c r="T142" s="20"/>
      <c r="U142" s="20"/>
      <c r="V142" s="20"/>
      <c r="W142" s="20"/>
      <c r="X142" s="20"/>
      <c r="Y142" s="20"/>
      <c r="Z142" s="20"/>
      <c r="AA142" s="20"/>
    </row>
    <row r="143" spans="1:27" ht="126">
      <c r="A143" s="8" t="s">
        <v>53</v>
      </c>
      <c r="B143" s="29" t="s">
        <v>336</v>
      </c>
      <c r="C143" s="8" t="s">
        <v>429</v>
      </c>
      <c r="D143" s="8" t="s">
        <v>451</v>
      </c>
      <c r="E143" s="69" t="s">
        <v>452</v>
      </c>
      <c r="F143" s="8" t="s">
        <v>3710</v>
      </c>
      <c r="G143" s="8" t="s">
        <v>58</v>
      </c>
      <c r="H143" s="8" t="s">
        <v>450</v>
      </c>
      <c r="I143" s="8" t="s">
        <v>210</v>
      </c>
      <c r="J143" s="8" t="s">
        <v>1090</v>
      </c>
      <c r="K143" s="8" t="s">
        <v>3782</v>
      </c>
      <c r="L143" s="283"/>
      <c r="M143" s="8"/>
      <c r="N143" s="8"/>
      <c r="O143" s="281"/>
      <c r="P143" s="8"/>
      <c r="Q143" s="132"/>
      <c r="R143" s="38"/>
      <c r="S143" s="8"/>
      <c r="T143" s="8"/>
      <c r="U143" s="8"/>
      <c r="V143" s="8"/>
      <c r="W143" s="8"/>
      <c r="X143" s="8"/>
      <c r="Y143" s="8"/>
      <c r="Z143" s="8"/>
      <c r="AA143" s="8"/>
    </row>
    <row r="144" spans="1:27" ht="126">
      <c r="A144" s="8" t="s">
        <v>53</v>
      </c>
      <c r="B144" s="29" t="s">
        <v>336</v>
      </c>
      <c r="C144" s="8" t="s">
        <v>429</v>
      </c>
      <c r="D144" s="8" t="s">
        <v>453</v>
      </c>
      <c r="E144" s="69" t="s">
        <v>454</v>
      </c>
      <c r="F144" s="8" t="s">
        <v>3710</v>
      </c>
      <c r="G144" s="8" t="s">
        <v>58</v>
      </c>
      <c r="H144" s="8" t="s">
        <v>450</v>
      </c>
      <c r="I144" s="8" t="s">
        <v>210</v>
      </c>
      <c r="J144" s="8" t="s">
        <v>1191</v>
      </c>
      <c r="K144" s="8" t="s">
        <v>3782</v>
      </c>
      <c r="L144" s="283"/>
      <c r="M144" s="8" t="s">
        <v>9</v>
      </c>
      <c r="N144" s="8"/>
      <c r="O144" s="281"/>
      <c r="P144" s="8"/>
      <c r="Q144" s="132"/>
      <c r="R144" s="38"/>
      <c r="S144" s="8"/>
      <c r="T144" s="8"/>
      <c r="U144" s="8"/>
      <c r="V144" s="8"/>
      <c r="W144" s="8"/>
      <c r="X144" s="8"/>
      <c r="Y144" s="8"/>
      <c r="Z144" s="8"/>
      <c r="AA144" s="8"/>
    </row>
    <row r="145" spans="1:27" ht="126">
      <c r="A145" s="8" t="s">
        <v>53</v>
      </c>
      <c r="B145" s="29" t="s">
        <v>336</v>
      </c>
      <c r="C145" s="8" t="s">
        <v>429</v>
      </c>
      <c r="D145" s="8" t="s">
        <v>455</v>
      </c>
      <c r="E145" s="69" t="s">
        <v>456</v>
      </c>
      <c r="F145" s="8" t="s">
        <v>3710</v>
      </c>
      <c r="G145" s="8" t="s">
        <v>58</v>
      </c>
      <c r="H145" s="8" t="s">
        <v>450</v>
      </c>
      <c r="I145" s="8" t="s">
        <v>210</v>
      </c>
      <c r="J145" s="8" t="s">
        <v>1191</v>
      </c>
      <c r="K145" s="8" t="s">
        <v>3782</v>
      </c>
      <c r="L145" s="283"/>
      <c r="M145" s="8" t="s">
        <v>9</v>
      </c>
      <c r="N145" s="8"/>
      <c r="O145" s="281"/>
      <c r="P145" s="8"/>
      <c r="Q145" s="132"/>
      <c r="R145" s="38"/>
      <c r="S145" s="8"/>
      <c r="T145" s="8"/>
      <c r="U145" s="8"/>
      <c r="V145" s="8"/>
      <c r="W145" s="8"/>
      <c r="X145" s="8"/>
      <c r="Y145" s="8"/>
      <c r="Z145" s="8"/>
      <c r="AA145" s="8"/>
    </row>
    <row r="146" spans="1:27" ht="126">
      <c r="A146" s="8" t="s">
        <v>53</v>
      </c>
      <c r="B146" s="29" t="s">
        <v>336</v>
      </c>
      <c r="C146" s="8" t="s">
        <v>429</v>
      </c>
      <c r="D146" s="8" t="s">
        <v>457</v>
      </c>
      <c r="E146" s="69" t="s">
        <v>458</v>
      </c>
      <c r="F146" s="8" t="s">
        <v>3710</v>
      </c>
      <c r="G146" s="8" t="s">
        <v>58</v>
      </c>
      <c r="H146" s="8" t="s">
        <v>450</v>
      </c>
      <c r="I146" s="8" t="s">
        <v>210</v>
      </c>
      <c r="J146" s="8" t="s">
        <v>1090</v>
      </c>
      <c r="K146" s="8" t="s">
        <v>3782</v>
      </c>
      <c r="L146" s="283"/>
      <c r="M146" s="8"/>
      <c r="N146" s="8"/>
      <c r="O146" s="281"/>
      <c r="P146" s="8"/>
      <c r="Q146" s="132"/>
      <c r="R146" s="38"/>
      <c r="S146" s="8"/>
      <c r="T146" s="8"/>
      <c r="U146" s="8"/>
      <c r="V146" s="8"/>
      <c r="W146" s="8"/>
      <c r="X146" s="8"/>
      <c r="Y146" s="8"/>
      <c r="Z146" s="8"/>
      <c r="AA146" s="8"/>
    </row>
    <row r="147" spans="1:27" ht="126">
      <c r="A147" s="8" t="s">
        <v>53</v>
      </c>
      <c r="B147" s="29" t="s">
        <v>336</v>
      </c>
      <c r="C147" s="8" t="s">
        <v>429</v>
      </c>
      <c r="D147" s="8" t="s">
        <v>459</v>
      </c>
      <c r="E147" s="69" t="s">
        <v>460</v>
      </c>
      <c r="F147" s="8" t="s">
        <v>3710</v>
      </c>
      <c r="G147" s="8" t="s">
        <v>58</v>
      </c>
      <c r="H147" s="8" t="s">
        <v>450</v>
      </c>
      <c r="I147" s="8" t="s">
        <v>210</v>
      </c>
      <c r="J147" s="8" t="s">
        <v>1090</v>
      </c>
      <c r="K147" s="8" t="s">
        <v>3782</v>
      </c>
      <c r="L147" s="283"/>
      <c r="M147" s="8"/>
      <c r="N147" s="8"/>
      <c r="O147" s="281"/>
      <c r="P147" s="8"/>
      <c r="Q147" s="132"/>
      <c r="R147" s="38"/>
      <c r="S147" s="8"/>
      <c r="T147" s="8"/>
      <c r="U147" s="8"/>
      <c r="V147" s="8"/>
      <c r="W147" s="8"/>
      <c r="X147" s="8"/>
      <c r="Y147" s="8"/>
      <c r="Z147" s="8"/>
      <c r="AA147" s="8"/>
    </row>
    <row r="148" spans="1:27" ht="126">
      <c r="A148" s="8" t="s">
        <v>53</v>
      </c>
      <c r="B148" s="29" t="s">
        <v>336</v>
      </c>
      <c r="C148" s="8" t="s">
        <v>429</v>
      </c>
      <c r="D148" s="8" t="s">
        <v>461</v>
      </c>
      <c r="E148" s="69" t="s">
        <v>462</v>
      </c>
      <c r="F148" s="8" t="s">
        <v>3710</v>
      </c>
      <c r="G148" s="8" t="s">
        <v>58</v>
      </c>
      <c r="H148" s="8" t="s">
        <v>450</v>
      </c>
      <c r="I148" s="8" t="s">
        <v>210</v>
      </c>
      <c r="J148" s="8" t="s">
        <v>1090</v>
      </c>
      <c r="K148" s="8" t="s">
        <v>3782</v>
      </c>
      <c r="L148" s="283"/>
      <c r="M148" s="8"/>
      <c r="N148" s="8"/>
      <c r="O148" s="281"/>
      <c r="P148" s="8"/>
      <c r="Q148" s="132"/>
      <c r="R148" s="38"/>
      <c r="S148" s="8"/>
      <c r="T148" s="8"/>
      <c r="U148" s="8"/>
      <c r="V148" s="8"/>
      <c r="W148" s="8"/>
      <c r="X148" s="8"/>
      <c r="Y148" s="8"/>
      <c r="Z148" s="8"/>
      <c r="AA148" s="8"/>
    </row>
    <row r="149" spans="1:27" ht="126">
      <c r="A149" s="8" t="s">
        <v>53</v>
      </c>
      <c r="B149" s="29" t="s">
        <v>336</v>
      </c>
      <c r="C149" s="8" t="s">
        <v>429</v>
      </c>
      <c r="D149" s="8" t="s">
        <v>463</v>
      </c>
      <c r="E149" s="69" t="s">
        <v>464</v>
      </c>
      <c r="F149" s="8" t="s">
        <v>3783</v>
      </c>
      <c r="G149" s="8" t="s">
        <v>58</v>
      </c>
      <c r="H149" s="8" t="s">
        <v>450</v>
      </c>
      <c r="I149" s="8" t="s">
        <v>210</v>
      </c>
      <c r="J149" s="8" t="s">
        <v>1090</v>
      </c>
      <c r="K149" s="8" t="s">
        <v>3782</v>
      </c>
      <c r="L149" s="283"/>
      <c r="M149" s="8"/>
      <c r="N149" s="8"/>
      <c r="O149" s="281"/>
      <c r="P149" s="8"/>
      <c r="Q149" s="132"/>
      <c r="R149" s="38"/>
      <c r="S149" s="8"/>
      <c r="T149" s="8"/>
      <c r="U149" s="8"/>
      <c r="V149" s="8"/>
      <c r="W149" s="8"/>
      <c r="X149" s="8"/>
      <c r="Y149" s="8"/>
      <c r="Z149" s="8"/>
      <c r="AA149" s="8"/>
    </row>
    <row r="150" spans="1:27" ht="126">
      <c r="A150" s="8" t="s">
        <v>53</v>
      </c>
      <c r="B150" s="29" t="s">
        <v>336</v>
      </c>
      <c r="C150" s="8" t="s">
        <v>429</v>
      </c>
      <c r="D150" s="8" t="s">
        <v>465</v>
      </c>
      <c r="E150" s="69" t="s">
        <v>466</v>
      </c>
      <c r="F150" s="8" t="s">
        <v>3783</v>
      </c>
      <c r="G150" s="8" t="s">
        <v>58</v>
      </c>
      <c r="H150" s="8" t="s">
        <v>450</v>
      </c>
      <c r="I150" s="8" t="s">
        <v>210</v>
      </c>
      <c r="J150" s="8" t="s">
        <v>1090</v>
      </c>
      <c r="K150" s="8" t="s">
        <v>3782</v>
      </c>
      <c r="L150" s="283"/>
      <c r="M150" s="8"/>
      <c r="N150" s="8"/>
      <c r="O150" s="281"/>
      <c r="P150" s="8"/>
      <c r="Q150" s="132"/>
      <c r="R150" s="38"/>
      <c r="S150" s="8"/>
      <c r="T150" s="8"/>
      <c r="U150" s="8"/>
      <c r="V150" s="8"/>
      <c r="W150" s="8"/>
      <c r="X150" s="8"/>
      <c r="Y150" s="8"/>
      <c r="Z150" s="8"/>
      <c r="AA150" s="8"/>
    </row>
    <row r="151" spans="1:27" ht="141.75">
      <c r="A151" s="8" t="s">
        <v>53</v>
      </c>
      <c r="B151" s="29" t="s">
        <v>336</v>
      </c>
      <c r="C151" s="8" t="s">
        <v>429</v>
      </c>
      <c r="D151" s="8" t="s">
        <v>467</v>
      </c>
      <c r="E151" s="8" t="s">
        <v>468</v>
      </c>
      <c r="F151" s="8" t="s">
        <v>3708</v>
      </c>
      <c r="G151" s="8" t="s">
        <v>58</v>
      </c>
      <c r="H151" s="8" t="s">
        <v>469</v>
      </c>
      <c r="I151" s="8" t="s">
        <v>210</v>
      </c>
      <c r="J151" s="8"/>
      <c r="K151" s="8" t="s">
        <v>3782</v>
      </c>
      <c r="L151" s="283"/>
      <c r="M151" s="8"/>
      <c r="N151" s="8"/>
      <c r="O151" s="281"/>
      <c r="P151" s="8"/>
      <c r="Q151" s="132"/>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283"/>
      <c r="M152" s="8"/>
      <c r="N152" s="8"/>
      <c r="O152" s="281"/>
      <c r="P152" s="8"/>
      <c r="Q152" s="132"/>
      <c r="R152" s="38"/>
      <c r="S152" s="8"/>
      <c r="T152" s="8"/>
      <c r="U152" s="8"/>
      <c r="V152" s="8"/>
      <c r="W152" s="8"/>
      <c r="X152" s="8"/>
      <c r="Y152" s="8"/>
      <c r="Z152" s="8"/>
      <c r="AA152" s="8"/>
    </row>
    <row r="153" spans="1:27" ht="94.5">
      <c r="A153" s="8" t="s">
        <v>53</v>
      </c>
      <c r="B153" s="29" t="s">
        <v>336</v>
      </c>
      <c r="C153" s="8" t="s">
        <v>473</v>
      </c>
      <c r="D153" s="8" t="s">
        <v>474</v>
      </c>
      <c r="E153" s="8" t="s">
        <v>475</v>
      </c>
      <c r="F153" s="8" t="s">
        <v>3710</v>
      </c>
      <c r="G153" s="8" t="s">
        <v>62</v>
      </c>
      <c r="H153" s="8" t="s">
        <v>476</v>
      </c>
      <c r="I153" s="8" t="s">
        <v>210</v>
      </c>
      <c r="J153" s="8" t="s">
        <v>1191</v>
      </c>
      <c r="K153" s="8" t="s">
        <v>3784</v>
      </c>
      <c r="L153" s="283"/>
      <c r="M153" s="8" t="s">
        <v>9</v>
      </c>
      <c r="N153" s="8"/>
      <c r="O153" s="281"/>
      <c r="P153" s="8"/>
      <c r="Q153" s="132"/>
      <c r="R153" s="38"/>
      <c r="S153" s="8"/>
      <c r="T153" s="8"/>
      <c r="U153" s="8"/>
      <c r="V153" s="8"/>
      <c r="W153" s="8"/>
      <c r="X153" s="8"/>
      <c r="Y153" s="8"/>
      <c r="Z153" s="8"/>
      <c r="AA153" s="8"/>
    </row>
    <row r="154" spans="1:27" ht="94.5">
      <c r="A154" s="8" t="s">
        <v>53</v>
      </c>
      <c r="B154" s="29" t="s">
        <v>336</v>
      </c>
      <c r="C154" s="8" t="s">
        <v>473</v>
      </c>
      <c r="D154" s="8" t="s">
        <v>477</v>
      </c>
      <c r="E154" s="8" t="s">
        <v>478</v>
      </c>
      <c r="F154" s="8" t="s">
        <v>3710</v>
      </c>
      <c r="G154" s="8" t="s">
        <v>62</v>
      </c>
      <c r="H154" s="8" t="s">
        <v>479</v>
      </c>
      <c r="I154" s="8" t="s">
        <v>210</v>
      </c>
      <c r="J154" s="8" t="s">
        <v>1191</v>
      </c>
      <c r="K154" s="8" t="s">
        <v>3784</v>
      </c>
      <c r="L154" s="283"/>
      <c r="M154" s="8" t="s">
        <v>9</v>
      </c>
      <c r="N154" s="8"/>
      <c r="O154" s="281"/>
      <c r="P154" s="8"/>
      <c r="Q154" s="132"/>
      <c r="R154" s="38"/>
      <c r="S154" s="8"/>
      <c r="T154" s="8"/>
      <c r="U154" s="8"/>
      <c r="V154" s="8"/>
      <c r="W154" s="8"/>
      <c r="X154" s="8"/>
      <c r="Y154" s="8"/>
      <c r="Z154" s="8"/>
      <c r="AA154" s="8"/>
    </row>
    <row r="155" spans="1:27">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141.75">
      <c r="A156" s="8" t="s">
        <v>16</v>
      </c>
      <c r="B156" s="29" t="s">
        <v>54</v>
      </c>
      <c r="C156" s="8" t="s">
        <v>481</v>
      </c>
      <c r="D156" s="8" t="s">
        <v>482</v>
      </c>
      <c r="E156" s="8" t="s">
        <v>483</v>
      </c>
      <c r="F156" s="8" t="s">
        <v>3708</v>
      </c>
      <c r="G156" s="8" t="s">
        <v>62</v>
      </c>
      <c r="H156" s="8" t="s">
        <v>484</v>
      </c>
      <c r="I156" s="8" t="s">
        <v>485</v>
      </c>
      <c r="J156" s="8" t="s">
        <v>8</v>
      </c>
      <c r="K156" s="8" t="s">
        <v>3785</v>
      </c>
      <c r="L156" s="283"/>
      <c r="M156" s="8"/>
      <c r="N156" s="8"/>
      <c r="O156" s="281"/>
      <c r="P156" s="8"/>
      <c r="Q156" s="132"/>
      <c r="R156" s="38"/>
      <c r="S156" s="8"/>
      <c r="T156" s="8"/>
      <c r="U156" s="8"/>
      <c r="V156" s="8"/>
      <c r="W156" s="8"/>
      <c r="X156" s="8"/>
      <c r="Y156" s="8"/>
      <c r="Z156" s="8"/>
      <c r="AA156" s="8"/>
    </row>
    <row r="157" spans="1:27" ht="82.5" customHeight="1">
      <c r="A157" s="8" t="s">
        <v>16</v>
      </c>
      <c r="B157" s="29" t="s">
        <v>54</v>
      </c>
      <c r="C157" s="8" t="s">
        <v>486</v>
      </c>
      <c r="D157" s="8" t="s">
        <v>487</v>
      </c>
      <c r="E157" s="8" t="s">
        <v>488</v>
      </c>
      <c r="F157" s="20"/>
      <c r="G157" s="20" t="s">
        <v>62</v>
      </c>
      <c r="H157" s="20" t="s">
        <v>489</v>
      </c>
      <c r="I157" s="22" t="s">
        <v>490</v>
      </c>
      <c r="J157" s="20"/>
      <c r="K157" s="20"/>
      <c r="L157" s="278"/>
      <c r="M157" s="20"/>
      <c r="N157" s="20"/>
      <c r="O157" s="279"/>
      <c r="P157" s="20"/>
      <c r="Q157" s="132"/>
      <c r="R157" s="39"/>
      <c r="S157" s="20"/>
      <c r="T157" s="20"/>
      <c r="U157" s="20"/>
      <c r="V157" s="20"/>
      <c r="W157" s="20"/>
      <c r="X157" s="20"/>
      <c r="Y157" s="20"/>
      <c r="Z157" s="20"/>
      <c r="AA157" s="20"/>
    </row>
    <row r="158" spans="1:27" ht="220.5">
      <c r="A158" s="8" t="s">
        <v>16</v>
      </c>
      <c r="B158" s="29" t="s">
        <v>54</v>
      </c>
      <c r="C158" s="8" t="s">
        <v>486</v>
      </c>
      <c r="D158" s="8" t="s">
        <v>491</v>
      </c>
      <c r="E158" s="69" t="s">
        <v>492</v>
      </c>
      <c r="F158" s="8" t="s">
        <v>3708</v>
      </c>
      <c r="G158" s="8" t="s">
        <v>62</v>
      </c>
      <c r="H158" s="8" t="s">
        <v>493</v>
      </c>
      <c r="I158" s="8" t="s">
        <v>494</v>
      </c>
      <c r="J158" s="8" t="s">
        <v>1090</v>
      </c>
      <c r="K158" s="8" t="s">
        <v>3786</v>
      </c>
      <c r="L158" s="283"/>
      <c r="M158" s="8"/>
      <c r="N158" s="8"/>
      <c r="O158" s="281"/>
      <c r="P158" s="8"/>
      <c r="Q158" s="132"/>
      <c r="R158" s="38"/>
      <c r="S158" s="8"/>
      <c r="T158" s="8"/>
      <c r="U158" s="8"/>
      <c r="V158" s="8"/>
      <c r="W158" s="8"/>
      <c r="X158" s="8"/>
      <c r="Y158" s="8"/>
      <c r="Z158" s="8"/>
      <c r="AA158" s="8"/>
    </row>
    <row r="159" spans="1:27" ht="141.75">
      <c r="A159" s="8" t="s">
        <v>16</v>
      </c>
      <c r="B159" s="29" t="s">
        <v>54</v>
      </c>
      <c r="C159" s="8" t="s">
        <v>486</v>
      </c>
      <c r="D159" s="8" t="s">
        <v>495</v>
      </c>
      <c r="E159" s="69" t="s">
        <v>496</v>
      </c>
      <c r="F159" s="8" t="s">
        <v>3708</v>
      </c>
      <c r="G159" s="8" t="s">
        <v>62</v>
      </c>
      <c r="H159" s="8" t="s">
        <v>493</v>
      </c>
      <c r="I159" s="8" t="s">
        <v>494</v>
      </c>
      <c r="J159" s="8" t="s">
        <v>1090</v>
      </c>
      <c r="K159" s="8" t="s">
        <v>3787</v>
      </c>
      <c r="L159" s="283"/>
      <c r="M159" s="8"/>
      <c r="N159" s="8"/>
      <c r="O159" s="281"/>
      <c r="P159" s="8"/>
      <c r="Q159" s="132"/>
      <c r="R159" s="38"/>
      <c r="S159" s="8"/>
      <c r="T159" s="8"/>
      <c r="U159" s="8"/>
      <c r="V159" s="8"/>
      <c r="W159" s="8"/>
      <c r="X159" s="8"/>
      <c r="Y159" s="8"/>
      <c r="Z159" s="8"/>
      <c r="AA159" s="8"/>
    </row>
    <row r="160" spans="1:27" ht="126">
      <c r="A160" s="8" t="s">
        <v>16</v>
      </c>
      <c r="B160" s="29" t="s">
        <v>54</v>
      </c>
      <c r="C160" s="8" t="s">
        <v>486</v>
      </c>
      <c r="D160" s="8" t="s">
        <v>497</v>
      </c>
      <c r="E160" s="69" t="s">
        <v>498</v>
      </c>
      <c r="F160" s="8" t="s">
        <v>3710</v>
      </c>
      <c r="G160" s="8" t="s">
        <v>62</v>
      </c>
      <c r="H160" s="8" t="s">
        <v>493</v>
      </c>
      <c r="I160" s="8" t="s">
        <v>494</v>
      </c>
      <c r="J160" s="8" t="s">
        <v>1090</v>
      </c>
      <c r="K160" s="8" t="s">
        <v>3788</v>
      </c>
      <c r="L160" s="283"/>
      <c r="M160" s="8"/>
      <c r="N160" s="8"/>
      <c r="O160" s="281"/>
      <c r="P160" s="8"/>
      <c r="Q160" s="132"/>
      <c r="R160" s="38"/>
      <c r="S160" s="8"/>
      <c r="T160" s="8"/>
      <c r="U160" s="8"/>
      <c r="V160" s="8"/>
      <c r="W160" s="8"/>
      <c r="X160" s="8"/>
      <c r="Y160" s="8"/>
      <c r="Z160" s="8"/>
      <c r="AA160" s="8"/>
    </row>
    <row r="161" spans="1:27" ht="141.75">
      <c r="A161" s="8" t="s">
        <v>16</v>
      </c>
      <c r="B161" s="29" t="s">
        <v>54</v>
      </c>
      <c r="C161" s="8" t="s">
        <v>486</v>
      </c>
      <c r="D161" s="8" t="s">
        <v>499</v>
      </c>
      <c r="E161" s="69" t="s">
        <v>500</v>
      </c>
      <c r="F161" s="8" t="s">
        <v>3708</v>
      </c>
      <c r="G161" s="8" t="s">
        <v>62</v>
      </c>
      <c r="H161" s="8" t="s">
        <v>493</v>
      </c>
      <c r="I161" s="8" t="s">
        <v>494</v>
      </c>
      <c r="J161" s="8" t="s">
        <v>1090</v>
      </c>
      <c r="K161" s="8" t="s">
        <v>3787</v>
      </c>
      <c r="L161" s="283"/>
      <c r="M161" s="8"/>
      <c r="N161" s="8"/>
      <c r="O161" s="281"/>
      <c r="P161" s="8"/>
      <c r="Q161" s="132"/>
      <c r="R161" s="38"/>
      <c r="S161" s="8"/>
      <c r="T161" s="8"/>
      <c r="U161" s="8"/>
      <c r="V161" s="8"/>
      <c r="W161" s="8"/>
      <c r="X161" s="8"/>
      <c r="Y161" s="8"/>
      <c r="Z161" s="8"/>
      <c r="AA161" s="8"/>
    </row>
    <row r="162" spans="1:27" ht="141.75">
      <c r="A162" s="8" t="s">
        <v>16</v>
      </c>
      <c r="B162" s="29" t="s">
        <v>54</v>
      </c>
      <c r="C162" s="8" t="s">
        <v>486</v>
      </c>
      <c r="D162" s="8" t="s">
        <v>501</v>
      </c>
      <c r="E162" s="69" t="s">
        <v>502</v>
      </c>
      <c r="F162" s="8" t="s">
        <v>3708</v>
      </c>
      <c r="G162" s="8" t="s">
        <v>62</v>
      </c>
      <c r="H162" s="8" t="s">
        <v>493</v>
      </c>
      <c r="I162" s="8" t="s">
        <v>494</v>
      </c>
      <c r="J162" s="8" t="s">
        <v>1090</v>
      </c>
      <c r="K162" s="8" t="s">
        <v>3789</v>
      </c>
      <c r="L162" s="283"/>
      <c r="M162" s="8"/>
      <c r="N162" s="8"/>
      <c r="O162" s="281"/>
      <c r="P162" s="8"/>
      <c r="Q162" s="132"/>
      <c r="R162" s="38"/>
      <c r="S162" s="8"/>
      <c r="T162" s="8"/>
      <c r="U162" s="8"/>
      <c r="V162" s="8"/>
      <c r="W162" s="8"/>
      <c r="X162" s="8"/>
      <c r="Y162" s="8"/>
      <c r="Z162" s="8"/>
      <c r="AA162" s="8"/>
    </row>
    <row r="163" spans="1:27" ht="141.75">
      <c r="A163" s="8" t="s">
        <v>16</v>
      </c>
      <c r="B163" s="29" t="s">
        <v>54</v>
      </c>
      <c r="C163" s="8" t="s">
        <v>486</v>
      </c>
      <c r="D163" s="8" t="s">
        <v>503</v>
      </c>
      <c r="E163" s="69" t="s">
        <v>504</v>
      </c>
      <c r="F163" s="8" t="s">
        <v>3708</v>
      </c>
      <c r="G163" s="8" t="s">
        <v>62</v>
      </c>
      <c r="H163" s="8" t="s">
        <v>493</v>
      </c>
      <c r="I163" s="8" t="s">
        <v>494</v>
      </c>
      <c r="J163" s="8" t="s">
        <v>1090</v>
      </c>
      <c r="K163" s="8" t="s">
        <v>3790</v>
      </c>
      <c r="L163" s="283"/>
      <c r="M163" s="8"/>
      <c r="N163" s="8"/>
      <c r="O163" s="281"/>
      <c r="P163" s="8"/>
      <c r="Q163" s="132"/>
      <c r="R163" s="38"/>
      <c r="S163" s="8"/>
      <c r="T163" s="8"/>
      <c r="U163" s="8"/>
      <c r="V163" s="8"/>
      <c r="W163" s="8"/>
      <c r="X163" s="8"/>
      <c r="Y163" s="8"/>
      <c r="Z163" s="8"/>
      <c r="AA163" s="8"/>
    </row>
    <row r="164" spans="1:27" ht="94.5">
      <c r="A164" s="8" t="s">
        <v>16</v>
      </c>
      <c r="B164" s="29" t="s">
        <v>54</v>
      </c>
      <c r="C164" s="8" t="s">
        <v>486</v>
      </c>
      <c r="D164" s="8" t="s">
        <v>505</v>
      </c>
      <c r="E164" s="69" t="s">
        <v>506</v>
      </c>
      <c r="F164" s="8" t="s">
        <v>3710</v>
      </c>
      <c r="G164" s="8" t="s">
        <v>62</v>
      </c>
      <c r="H164" s="8" t="s">
        <v>493</v>
      </c>
      <c r="I164" s="8" t="s">
        <v>494</v>
      </c>
      <c r="J164" s="8" t="s">
        <v>1191</v>
      </c>
      <c r="K164" s="8" t="s">
        <v>3791</v>
      </c>
      <c r="L164" s="283"/>
      <c r="M164" s="8" t="s">
        <v>9</v>
      </c>
      <c r="N164" s="13"/>
      <c r="O164" s="281"/>
      <c r="P164" s="8"/>
      <c r="Q164" s="132"/>
      <c r="R164" s="38"/>
      <c r="S164" s="8"/>
      <c r="T164" s="8"/>
      <c r="U164" s="8"/>
      <c r="V164" s="8"/>
      <c r="W164" s="8"/>
      <c r="X164" s="8"/>
      <c r="Y164" s="8"/>
      <c r="Z164" s="8"/>
      <c r="AA164" s="8"/>
    </row>
    <row r="165" spans="1:27" ht="94.5">
      <c r="A165" s="8" t="s">
        <v>16</v>
      </c>
      <c r="B165" s="29" t="s">
        <v>54</v>
      </c>
      <c r="C165" s="8" t="s">
        <v>486</v>
      </c>
      <c r="D165" s="8" t="s">
        <v>507</v>
      </c>
      <c r="E165" s="69" t="s">
        <v>508</v>
      </c>
      <c r="F165" s="8" t="s">
        <v>3710</v>
      </c>
      <c r="G165" s="8" t="s">
        <v>62</v>
      </c>
      <c r="H165" s="8" t="s">
        <v>493</v>
      </c>
      <c r="I165" s="8" t="s">
        <v>494</v>
      </c>
      <c r="J165" s="8" t="s">
        <v>1191</v>
      </c>
      <c r="K165" s="8" t="s">
        <v>3791</v>
      </c>
      <c r="L165" s="283"/>
      <c r="M165" s="8" t="s">
        <v>9</v>
      </c>
      <c r="N165" s="13"/>
      <c r="O165" s="281"/>
      <c r="P165" s="8"/>
      <c r="Q165" s="132"/>
      <c r="R165" s="38"/>
      <c r="S165" s="8"/>
      <c r="T165" s="8"/>
      <c r="U165" s="8"/>
      <c r="V165" s="8"/>
      <c r="W165" s="8"/>
      <c r="X165" s="8"/>
      <c r="Y165" s="8"/>
      <c r="Z165" s="8"/>
      <c r="AA165" s="8"/>
    </row>
    <row r="166" spans="1:27" ht="94.5">
      <c r="A166" s="8" t="s">
        <v>16</v>
      </c>
      <c r="B166" s="29" t="s">
        <v>54</v>
      </c>
      <c r="C166" s="8" t="s">
        <v>486</v>
      </c>
      <c r="D166" s="8" t="s">
        <v>509</v>
      </c>
      <c r="E166" s="69" t="s">
        <v>510</v>
      </c>
      <c r="F166" s="8" t="s">
        <v>3710</v>
      </c>
      <c r="G166" s="8" t="s">
        <v>62</v>
      </c>
      <c r="H166" s="8" t="s">
        <v>493</v>
      </c>
      <c r="I166" s="8" t="s">
        <v>494</v>
      </c>
      <c r="J166" s="8" t="s">
        <v>1191</v>
      </c>
      <c r="K166" s="8" t="s">
        <v>3791</v>
      </c>
      <c r="L166" s="283"/>
      <c r="M166" s="8" t="s">
        <v>9</v>
      </c>
      <c r="N166" s="13"/>
      <c r="O166" s="281"/>
      <c r="P166" s="8"/>
      <c r="Q166" s="132"/>
      <c r="R166" s="38"/>
      <c r="S166" s="8"/>
      <c r="T166" s="8"/>
      <c r="U166" s="8"/>
      <c r="V166" s="8"/>
      <c r="W166" s="8"/>
      <c r="X166" s="8"/>
      <c r="Y166" s="8"/>
      <c r="Z166" s="8"/>
      <c r="AA166" s="8"/>
    </row>
    <row r="167" spans="1:27" ht="94.5">
      <c r="A167" s="8" t="s">
        <v>16</v>
      </c>
      <c r="B167" s="29" t="s">
        <v>54</v>
      </c>
      <c r="C167" s="8" t="s">
        <v>486</v>
      </c>
      <c r="D167" s="8" t="s">
        <v>511</v>
      </c>
      <c r="E167" s="69" t="s">
        <v>512</v>
      </c>
      <c r="F167" s="8" t="s">
        <v>3710</v>
      </c>
      <c r="G167" s="8" t="s">
        <v>62</v>
      </c>
      <c r="H167" s="8" t="s">
        <v>493</v>
      </c>
      <c r="I167" s="8" t="s">
        <v>494</v>
      </c>
      <c r="J167" s="8" t="s">
        <v>1191</v>
      </c>
      <c r="K167" s="8" t="s">
        <v>3791</v>
      </c>
      <c r="L167" s="283"/>
      <c r="M167" s="8" t="s">
        <v>9</v>
      </c>
      <c r="N167" s="13"/>
      <c r="O167" s="281"/>
      <c r="P167" s="8"/>
      <c r="Q167" s="132"/>
      <c r="R167" s="38"/>
      <c r="S167" s="8"/>
      <c r="T167" s="8"/>
      <c r="U167" s="8"/>
      <c r="V167" s="8"/>
      <c r="W167" s="8"/>
      <c r="X167" s="8"/>
      <c r="Y167" s="8"/>
      <c r="Z167" s="8"/>
      <c r="AA167" s="8"/>
    </row>
    <row r="168" spans="1:27" ht="94.5">
      <c r="A168" s="78" t="s">
        <v>16</v>
      </c>
      <c r="B168" s="79" t="s">
        <v>54</v>
      </c>
      <c r="C168" s="78" t="s">
        <v>486</v>
      </c>
      <c r="D168" s="78" t="s">
        <v>513</v>
      </c>
      <c r="E168" s="80" t="s">
        <v>514</v>
      </c>
      <c r="F168" s="78" t="s">
        <v>3710</v>
      </c>
      <c r="G168" s="78" t="s">
        <v>62</v>
      </c>
      <c r="H168" s="78" t="s">
        <v>493</v>
      </c>
      <c r="I168" s="78" t="s">
        <v>494</v>
      </c>
      <c r="J168" s="78" t="s">
        <v>1191</v>
      </c>
      <c r="K168" s="8" t="s">
        <v>3791</v>
      </c>
      <c r="L168" s="294"/>
      <c r="M168" s="78" t="s">
        <v>9</v>
      </c>
      <c r="N168" s="13"/>
      <c r="O168" s="295"/>
      <c r="P168" s="78"/>
      <c r="Q168" s="132"/>
      <c r="R168" s="83"/>
      <c r="S168" s="78"/>
      <c r="T168" s="78"/>
      <c r="U168" s="78"/>
      <c r="V168" s="78"/>
      <c r="W168" s="78"/>
      <c r="X168" s="78"/>
      <c r="Y168" s="78"/>
      <c r="Z168" s="78"/>
      <c r="AA168" s="78"/>
    </row>
    <row r="169" spans="1:27" ht="94.5">
      <c r="A169" s="135" t="s">
        <v>16</v>
      </c>
      <c r="B169" s="136" t="s">
        <v>54</v>
      </c>
      <c r="C169" s="135" t="s">
        <v>486</v>
      </c>
      <c r="D169" s="138" t="s">
        <v>515</v>
      </c>
      <c r="E169" s="137" t="s">
        <v>516</v>
      </c>
      <c r="F169" s="135" t="s">
        <v>3710</v>
      </c>
      <c r="G169" s="135" t="s">
        <v>62</v>
      </c>
      <c r="H169" s="135" t="s">
        <v>493</v>
      </c>
      <c r="I169" s="135" t="s">
        <v>494</v>
      </c>
      <c r="J169" s="135" t="s">
        <v>1191</v>
      </c>
      <c r="K169" s="8" t="s">
        <v>3791</v>
      </c>
      <c r="L169" s="301"/>
      <c r="M169" s="135" t="s">
        <v>10</v>
      </c>
      <c r="N169" s="13"/>
      <c r="O169" s="302"/>
      <c r="P169" s="303"/>
      <c r="Q169" s="26"/>
      <c r="R169" s="76"/>
      <c r="S169" s="76"/>
      <c r="T169" s="76"/>
      <c r="U169" s="76"/>
      <c r="V169" s="76"/>
      <c r="W169" s="76"/>
      <c r="X169" s="76"/>
      <c r="Y169" s="76"/>
      <c r="Z169" s="76"/>
      <c r="AA169" s="76"/>
    </row>
    <row r="170" spans="1:27" ht="94.5">
      <c r="A170" s="76" t="s">
        <v>16</v>
      </c>
      <c r="B170" s="77" t="s">
        <v>54</v>
      </c>
      <c r="C170" s="76" t="s">
        <v>486</v>
      </c>
      <c r="D170" s="90" t="s">
        <v>517</v>
      </c>
      <c r="E170" s="76" t="s">
        <v>518</v>
      </c>
      <c r="F170" s="76" t="s">
        <v>3710</v>
      </c>
      <c r="G170" s="76" t="s">
        <v>62</v>
      </c>
      <c r="H170" s="76" t="s">
        <v>519</v>
      </c>
      <c r="I170" s="134">
        <v>1</v>
      </c>
      <c r="J170" s="76" t="s">
        <v>1191</v>
      </c>
      <c r="K170" s="8" t="s">
        <v>3791</v>
      </c>
      <c r="L170" s="296"/>
      <c r="M170" s="76" t="s">
        <v>10</v>
      </c>
      <c r="N170" s="13"/>
      <c r="O170" s="304"/>
      <c r="P170" s="298"/>
      <c r="Q170" s="132"/>
      <c r="R170" s="133"/>
      <c r="S170" s="84"/>
      <c r="T170" s="84"/>
      <c r="U170" s="84"/>
      <c r="V170" s="84"/>
      <c r="W170" s="84"/>
      <c r="X170" s="84"/>
      <c r="Y170" s="84"/>
      <c r="Z170" s="84"/>
      <c r="AA170" s="84"/>
    </row>
    <row r="171" spans="1:27" ht="173.25">
      <c r="A171" s="84" t="s">
        <v>16</v>
      </c>
      <c r="B171" s="85" t="s">
        <v>54</v>
      </c>
      <c r="C171" s="84" t="s">
        <v>486</v>
      </c>
      <c r="D171" s="84" t="s">
        <v>520</v>
      </c>
      <c r="E171" s="84" t="s">
        <v>521</v>
      </c>
      <c r="F171" s="84" t="s">
        <v>3710</v>
      </c>
      <c r="G171" s="84" t="s">
        <v>62</v>
      </c>
      <c r="H171" s="84" t="s">
        <v>522</v>
      </c>
      <c r="I171" s="86">
        <v>1</v>
      </c>
      <c r="J171" s="84" t="s">
        <v>1090</v>
      </c>
      <c r="K171" s="8" t="s">
        <v>3792</v>
      </c>
      <c r="L171" s="299"/>
      <c r="M171" s="84"/>
      <c r="N171" s="13"/>
      <c r="O171" s="300"/>
      <c r="P171" s="84"/>
      <c r="Q171" s="132"/>
      <c r="R171" s="38"/>
      <c r="S171" s="8"/>
      <c r="T171" s="8"/>
      <c r="U171" s="8"/>
      <c r="V171" s="8"/>
      <c r="W171" s="8"/>
      <c r="X171" s="8"/>
      <c r="Y171" s="8"/>
      <c r="Z171" s="8"/>
      <c r="AA171" s="8"/>
    </row>
    <row r="172" spans="1:27" ht="94.5">
      <c r="A172" s="8" t="s">
        <v>16</v>
      </c>
      <c r="B172" s="29" t="s">
        <v>54</v>
      </c>
      <c r="C172" s="8" t="s">
        <v>486</v>
      </c>
      <c r="D172" s="8" t="s">
        <v>523</v>
      </c>
      <c r="E172" s="8" t="s">
        <v>524</v>
      </c>
      <c r="F172" s="8"/>
      <c r="G172" s="8" t="s">
        <v>62</v>
      </c>
      <c r="H172" s="8" t="s">
        <v>525</v>
      </c>
      <c r="I172" s="8" t="s">
        <v>526</v>
      </c>
      <c r="J172" s="8" t="s">
        <v>8</v>
      </c>
      <c r="K172" s="8"/>
      <c r="L172" s="283"/>
      <c r="M172" s="8"/>
      <c r="N172" s="13"/>
      <c r="O172" s="281"/>
      <c r="P172" s="8"/>
      <c r="Q172" s="132"/>
      <c r="R172" s="38"/>
      <c r="S172" s="8"/>
      <c r="T172" s="8"/>
      <c r="U172" s="8"/>
      <c r="V172" s="8"/>
      <c r="W172" s="8"/>
      <c r="X172" s="8"/>
      <c r="Y172" s="8"/>
      <c r="Z172" s="8"/>
      <c r="AA172" s="8"/>
    </row>
    <row r="173" spans="1:27" ht="94.5">
      <c r="A173" s="8" t="s">
        <v>16</v>
      </c>
      <c r="B173" s="29" t="s">
        <v>54</v>
      </c>
      <c r="C173" s="8" t="s">
        <v>527</v>
      </c>
      <c r="D173" s="8" t="s">
        <v>528</v>
      </c>
      <c r="E173" s="8" t="s">
        <v>529</v>
      </c>
      <c r="F173" s="8" t="s">
        <v>3710</v>
      </c>
      <c r="G173" s="8" t="s">
        <v>62</v>
      </c>
      <c r="H173" s="8" t="s">
        <v>530</v>
      </c>
      <c r="I173" s="8" t="s">
        <v>135</v>
      </c>
      <c r="J173" s="8" t="s">
        <v>8</v>
      </c>
      <c r="K173" s="8"/>
      <c r="L173" s="283"/>
      <c r="M173" s="8"/>
      <c r="N173" s="13"/>
      <c r="O173" s="281"/>
      <c r="P173" s="8"/>
      <c r="Q173" s="132"/>
      <c r="R173" s="38"/>
      <c r="S173" s="8"/>
      <c r="T173" s="8"/>
      <c r="U173" s="8"/>
      <c r="V173" s="8"/>
      <c r="W173" s="8"/>
      <c r="X173" s="8"/>
      <c r="Y173" s="8"/>
      <c r="Z173" s="8"/>
      <c r="AA173" s="8"/>
    </row>
    <row r="174" spans="1:27" ht="94.5">
      <c r="A174" s="8" t="s">
        <v>16</v>
      </c>
      <c r="B174" s="29" t="s">
        <v>195</v>
      </c>
      <c r="C174" s="8" t="s">
        <v>531</v>
      </c>
      <c r="D174" s="8" t="s">
        <v>532</v>
      </c>
      <c r="E174" s="8" t="s">
        <v>533</v>
      </c>
      <c r="F174" s="8" t="s">
        <v>3710</v>
      </c>
      <c r="G174" s="8" t="s">
        <v>62</v>
      </c>
      <c r="H174" s="8" t="s">
        <v>534</v>
      </c>
      <c r="I174" s="9">
        <v>1</v>
      </c>
      <c r="J174" s="8" t="s">
        <v>1090</v>
      </c>
      <c r="K174" s="8" t="s">
        <v>3793</v>
      </c>
      <c r="L174" s="283"/>
      <c r="M174" s="8"/>
      <c r="N174" s="13"/>
      <c r="O174" s="281"/>
      <c r="P174" s="8"/>
      <c r="Q174" s="132"/>
      <c r="R174" s="38"/>
      <c r="S174" s="8"/>
      <c r="T174" s="8"/>
      <c r="U174" s="8"/>
      <c r="V174" s="8"/>
      <c r="W174" s="8"/>
      <c r="X174" s="8"/>
      <c r="Y174" s="8"/>
      <c r="Z174" s="8"/>
      <c r="AA174" s="8"/>
    </row>
    <row r="175" spans="1:27" ht="141.75">
      <c r="A175" s="8" t="s">
        <v>16</v>
      </c>
      <c r="B175" s="29" t="s">
        <v>195</v>
      </c>
      <c r="C175" s="8" t="s">
        <v>531</v>
      </c>
      <c r="D175" s="8" t="s">
        <v>535</v>
      </c>
      <c r="E175" s="8" t="s">
        <v>536</v>
      </c>
      <c r="F175" s="8" t="s">
        <v>3708</v>
      </c>
      <c r="G175" s="8" t="s">
        <v>62</v>
      </c>
      <c r="H175" s="8" t="s">
        <v>537</v>
      </c>
      <c r="I175" s="8" t="s">
        <v>538</v>
      </c>
      <c r="J175" s="8" t="s">
        <v>1191</v>
      </c>
      <c r="K175" s="8" t="s">
        <v>3794</v>
      </c>
      <c r="L175" s="283"/>
      <c r="M175" s="8" t="s">
        <v>11</v>
      </c>
      <c r="N175" s="13"/>
      <c r="O175" s="281"/>
      <c r="P175" s="8"/>
      <c r="Q175" s="132"/>
      <c r="R175" s="38"/>
      <c r="S175" s="8"/>
      <c r="T175" s="8"/>
      <c r="U175" s="8"/>
      <c r="V175" s="8"/>
      <c r="W175" s="8"/>
      <c r="X175" s="8"/>
      <c r="Y175" s="8"/>
      <c r="Z175" s="8"/>
      <c r="AA175" s="8"/>
    </row>
    <row r="176" spans="1:27" ht="157.5">
      <c r="A176" s="8" t="s">
        <v>16</v>
      </c>
      <c r="B176" s="29" t="s">
        <v>195</v>
      </c>
      <c r="C176" s="8" t="s">
        <v>539</v>
      </c>
      <c r="D176" s="8" t="s">
        <v>540</v>
      </c>
      <c r="E176" s="8" t="s">
        <v>541</v>
      </c>
      <c r="F176" s="8" t="s">
        <v>3710</v>
      </c>
      <c r="G176" s="8" t="s">
        <v>62</v>
      </c>
      <c r="H176" s="8" t="s">
        <v>542</v>
      </c>
      <c r="I176" s="9">
        <v>1</v>
      </c>
      <c r="J176" s="8" t="s">
        <v>1090</v>
      </c>
      <c r="K176" s="8" t="s">
        <v>3795</v>
      </c>
      <c r="L176" s="283"/>
      <c r="M176" s="8"/>
      <c r="N176" s="13"/>
      <c r="O176" s="281"/>
      <c r="P176" s="8"/>
      <c r="Q176" s="132"/>
      <c r="R176" s="38"/>
      <c r="S176" s="8"/>
      <c r="T176" s="8"/>
      <c r="U176" s="8"/>
      <c r="V176" s="8"/>
      <c r="W176" s="8"/>
      <c r="X176" s="8"/>
      <c r="Y176" s="8"/>
      <c r="Z176" s="8"/>
      <c r="AA176" s="8"/>
    </row>
    <row r="177" spans="1:51" ht="94.5">
      <c r="A177" s="8" t="s">
        <v>16</v>
      </c>
      <c r="B177" s="29" t="s">
        <v>195</v>
      </c>
      <c r="C177" s="8" t="s">
        <v>543</v>
      </c>
      <c r="D177" s="8" t="s">
        <v>544</v>
      </c>
      <c r="E177" s="8" t="s">
        <v>253</v>
      </c>
      <c r="F177" s="20"/>
      <c r="G177" s="20" t="s">
        <v>62</v>
      </c>
      <c r="H177" s="20" t="s">
        <v>254</v>
      </c>
      <c r="I177" s="22"/>
      <c r="J177" s="20"/>
      <c r="K177" s="20"/>
      <c r="L177" s="278"/>
      <c r="M177" s="20"/>
      <c r="N177" s="20"/>
      <c r="O177" s="279"/>
      <c r="P177" s="20"/>
      <c r="Q177" s="132"/>
      <c r="R177" s="39"/>
      <c r="S177" s="20"/>
      <c r="T177" s="20"/>
      <c r="U177" s="20"/>
      <c r="V177" s="20"/>
      <c r="W177" s="20"/>
      <c r="X177" s="20"/>
      <c r="Y177" s="20"/>
      <c r="Z177" s="20"/>
      <c r="AA177" s="20"/>
    </row>
    <row r="178" spans="1:51" ht="94.5">
      <c r="A178" s="8" t="s">
        <v>16</v>
      </c>
      <c r="B178" s="29" t="s">
        <v>195</v>
      </c>
      <c r="C178" s="8" t="s">
        <v>543</v>
      </c>
      <c r="D178" s="8" t="s">
        <v>545</v>
      </c>
      <c r="E178" s="69" t="s">
        <v>546</v>
      </c>
      <c r="F178" s="8" t="s">
        <v>3710</v>
      </c>
      <c r="G178" s="8" t="s">
        <v>62</v>
      </c>
      <c r="H178" s="8" t="s">
        <v>254</v>
      </c>
      <c r="I178" s="9">
        <v>1</v>
      </c>
      <c r="J178" s="8" t="s">
        <v>1191</v>
      </c>
      <c r="K178" s="8" t="s">
        <v>3796</v>
      </c>
      <c r="L178" s="283"/>
      <c r="M178" s="8" t="s">
        <v>9</v>
      </c>
      <c r="N178" s="13"/>
      <c r="O178" s="281"/>
      <c r="P178" s="8"/>
      <c r="Q178" s="132"/>
      <c r="R178" s="38"/>
      <c r="S178" s="8"/>
      <c r="T178" s="8"/>
      <c r="U178" s="8"/>
      <c r="V178" s="8"/>
      <c r="W178" s="8"/>
      <c r="X178" s="8"/>
      <c r="Y178" s="8"/>
      <c r="Z178" s="8"/>
      <c r="AA178" s="8"/>
    </row>
    <row r="179" spans="1:51" ht="94.5">
      <c r="A179" s="8" t="s">
        <v>16</v>
      </c>
      <c r="B179" s="29" t="s">
        <v>195</v>
      </c>
      <c r="C179" s="8" t="s">
        <v>543</v>
      </c>
      <c r="D179" s="8" t="s">
        <v>547</v>
      </c>
      <c r="E179" s="69" t="s">
        <v>548</v>
      </c>
      <c r="F179" s="8" t="s">
        <v>3710</v>
      </c>
      <c r="G179" s="8" t="s">
        <v>58</v>
      </c>
      <c r="H179" s="8" t="s">
        <v>549</v>
      </c>
      <c r="I179" s="8" t="s">
        <v>210</v>
      </c>
      <c r="J179" s="8" t="s">
        <v>1090</v>
      </c>
      <c r="K179" s="8" t="s">
        <v>3797</v>
      </c>
      <c r="L179" s="283"/>
      <c r="M179" s="8"/>
      <c r="N179" s="13"/>
      <c r="O179" s="281"/>
      <c r="P179" s="8"/>
      <c r="Q179" s="132"/>
      <c r="R179" s="38"/>
      <c r="S179" s="8"/>
      <c r="T179" s="8"/>
      <c r="U179" s="8"/>
      <c r="V179" s="8"/>
      <c r="W179" s="8"/>
      <c r="X179" s="8"/>
      <c r="Y179" s="8"/>
      <c r="Z179" s="8"/>
      <c r="AA179" s="8"/>
    </row>
    <row r="180" spans="1:51" ht="110.25">
      <c r="A180" s="8" t="s">
        <v>16</v>
      </c>
      <c r="B180" s="29" t="s">
        <v>195</v>
      </c>
      <c r="C180" s="8" t="s">
        <v>543</v>
      </c>
      <c r="D180" s="8" t="s">
        <v>550</v>
      </c>
      <c r="E180" s="69" t="s">
        <v>551</v>
      </c>
      <c r="F180" s="8" t="s">
        <v>3710</v>
      </c>
      <c r="G180" s="8" t="s">
        <v>58</v>
      </c>
      <c r="H180" s="8" t="s">
        <v>552</v>
      </c>
      <c r="I180" s="8" t="s">
        <v>210</v>
      </c>
      <c r="J180" s="8" t="s">
        <v>1090</v>
      </c>
      <c r="K180" s="8" t="s">
        <v>3797</v>
      </c>
      <c r="L180" s="283"/>
      <c r="M180" s="8"/>
      <c r="N180" s="13"/>
      <c r="O180" s="281"/>
      <c r="P180" s="8"/>
      <c r="Q180" s="132"/>
      <c r="R180" s="38"/>
      <c r="S180" s="8"/>
      <c r="T180" s="8"/>
      <c r="U180" s="8"/>
      <c r="V180" s="8"/>
      <c r="W180" s="8"/>
      <c r="X180" s="8"/>
      <c r="Y180" s="8"/>
      <c r="Z180" s="8"/>
      <c r="AA180" s="8"/>
    </row>
    <row r="181" spans="1:51" ht="110.25">
      <c r="A181" s="8" t="s">
        <v>16</v>
      </c>
      <c r="B181" s="29" t="s">
        <v>195</v>
      </c>
      <c r="C181" s="8" t="s">
        <v>543</v>
      </c>
      <c r="D181" s="8" t="s">
        <v>553</v>
      </c>
      <c r="E181" s="8" t="s">
        <v>554</v>
      </c>
      <c r="F181" s="8" t="s">
        <v>3710</v>
      </c>
      <c r="G181" s="8" t="s">
        <v>62</v>
      </c>
      <c r="H181" s="8" t="s">
        <v>555</v>
      </c>
      <c r="I181" s="9">
        <v>1</v>
      </c>
      <c r="J181" s="8" t="s">
        <v>1090</v>
      </c>
      <c r="K181" s="8" t="s">
        <v>3797</v>
      </c>
      <c r="L181" s="283"/>
      <c r="M181" s="8"/>
      <c r="N181" s="13"/>
      <c r="O181" s="281"/>
      <c r="P181" s="8"/>
      <c r="Q181" s="132"/>
      <c r="R181" s="38"/>
      <c r="S181" s="8"/>
      <c r="T181" s="8"/>
      <c r="U181" s="8"/>
      <c r="V181" s="8"/>
      <c r="W181" s="8"/>
      <c r="X181" s="8"/>
      <c r="Y181" s="8"/>
      <c r="Z181" s="8"/>
      <c r="AA181" s="8"/>
    </row>
    <row r="182" spans="1:51" ht="94.5">
      <c r="A182" s="8" t="s">
        <v>16</v>
      </c>
      <c r="B182" s="29" t="s">
        <v>195</v>
      </c>
      <c r="C182" s="8" t="s">
        <v>556</v>
      </c>
      <c r="D182" s="8" t="s">
        <v>557</v>
      </c>
      <c r="E182" s="8" t="s">
        <v>558</v>
      </c>
      <c r="F182" s="8" t="s">
        <v>3710</v>
      </c>
      <c r="G182" s="8" t="s">
        <v>62</v>
      </c>
      <c r="H182" s="8" t="s">
        <v>559</v>
      </c>
      <c r="I182" s="8" t="s">
        <v>485</v>
      </c>
      <c r="J182" s="8" t="s">
        <v>1090</v>
      </c>
      <c r="K182" s="8" t="s">
        <v>3797</v>
      </c>
      <c r="L182" s="283"/>
      <c r="M182" s="8"/>
      <c r="N182" s="13"/>
      <c r="O182" s="281"/>
      <c r="P182" s="8"/>
      <c r="Q182" s="132"/>
      <c r="R182" s="38"/>
      <c r="S182" s="8"/>
      <c r="T182" s="8"/>
      <c r="U182" s="8"/>
      <c r="V182" s="8"/>
      <c r="W182" s="8"/>
      <c r="X182" s="8"/>
      <c r="Y182" s="8"/>
      <c r="Z182" s="8"/>
      <c r="AA182" s="8"/>
    </row>
    <row r="183" spans="1:51" ht="173.25">
      <c r="A183" s="8" t="s">
        <v>16</v>
      </c>
      <c r="B183" s="29" t="s">
        <v>195</v>
      </c>
      <c r="C183" s="8" t="s">
        <v>556</v>
      </c>
      <c r="D183" s="8" t="s">
        <v>560</v>
      </c>
      <c r="E183" s="8" t="s">
        <v>561</v>
      </c>
      <c r="F183" s="8" t="s">
        <v>3708</v>
      </c>
      <c r="G183" s="8" t="s">
        <v>62</v>
      </c>
      <c r="H183" s="8" t="s">
        <v>259</v>
      </c>
      <c r="I183" s="8" t="s">
        <v>210</v>
      </c>
      <c r="J183" s="8" t="s">
        <v>1090</v>
      </c>
      <c r="K183" s="8" t="s">
        <v>3798</v>
      </c>
      <c r="L183" s="283"/>
      <c r="M183" s="8"/>
      <c r="N183" s="8" t="s">
        <v>3799</v>
      </c>
      <c r="O183" s="281"/>
      <c r="P183" s="8"/>
      <c r="Q183" s="132"/>
      <c r="R183" s="38"/>
      <c r="S183" s="8"/>
      <c r="T183" s="8"/>
      <c r="U183" s="8"/>
      <c r="V183" s="8"/>
      <c r="W183" s="8"/>
      <c r="X183" s="8"/>
      <c r="Y183" s="8"/>
      <c r="Z183" s="8"/>
      <c r="AA183" s="8"/>
    </row>
    <row r="184" spans="1:51" ht="94.5">
      <c r="A184" s="8" t="s">
        <v>16</v>
      </c>
      <c r="B184" s="29" t="s">
        <v>274</v>
      </c>
      <c r="C184" s="8" t="s">
        <v>562</v>
      </c>
      <c r="D184" s="8" t="s">
        <v>563</v>
      </c>
      <c r="E184" s="8" t="s">
        <v>564</v>
      </c>
      <c r="F184" s="20"/>
      <c r="G184" s="20" t="s">
        <v>62</v>
      </c>
      <c r="H184" s="20"/>
      <c r="I184" s="22"/>
      <c r="J184" s="20"/>
      <c r="K184" s="20"/>
      <c r="L184" s="278"/>
      <c r="M184" s="20"/>
      <c r="N184" s="20"/>
      <c r="O184" s="279"/>
      <c r="P184" s="20"/>
      <c r="Q184" s="132"/>
      <c r="R184" s="39"/>
      <c r="S184" s="20"/>
      <c r="T184" s="20"/>
      <c r="U184" s="20"/>
      <c r="V184" s="20"/>
      <c r="W184" s="20"/>
      <c r="X184" s="20"/>
      <c r="Y184" s="20"/>
      <c r="Z184" s="20"/>
      <c r="AA184" s="20"/>
    </row>
    <row r="185" spans="1:51" ht="157.5">
      <c r="A185" s="8" t="s">
        <v>16</v>
      </c>
      <c r="B185" s="29" t="s">
        <v>274</v>
      </c>
      <c r="C185" s="8" t="s">
        <v>562</v>
      </c>
      <c r="D185" s="8" t="s">
        <v>565</v>
      </c>
      <c r="E185" s="69" t="s">
        <v>566</v>
      </c>
      <c r="F185" s="8" t="s">
        <v>3708</v>
      </c>
      <c r="G185" s="8" t="s">
        <v>62</v>
      </c>
      <c r="H185" s="8" t="s">
        <v>567</v>
      </c>
      <c r="I185" s="9">
        <v>1</v>
      </c>
      <c r="J185" s="8" t="s">
        <v>1090</v>
      </c>
      <c r="K185" s="8" t="s">
        <v>3800</v>
      </c>
      <c r="L185" s="283" t="s">
        <v>3801</v>
      </c>
      <c r="M185" s="8"/>
      <c r="N185" s="8"/>
      <c r="O185" s="281"/>
      <c r="P185" s="8"/>
      <c r="Q185" s="132"/>
      <c r="R185" s="38"/>
      <c r="S185" s="8"/>
      <c r="T185" s="8"/>
      <c r="U185" s="8"/>
      <c r="V185" s="8"/>
      <c r="W185" s="8"/>
      <c r="X185" s="8"/>
      <c r="Y185" s="8"/>
      <c r="Z185" s="8"/>
      <c r="AA185" s="8"/>
    </row>
    <row r="186" spans="1:51" ht="157.5">
      <c r="A186" s="8" t="s">
        <v>16</v>
      </c>
      <c r="B186" s="29" t="s">
        <v>274</v>
      </c>
      <c r="C186" s="8" t="s">
        <v>562</v>
      </c>
      <c r="D186" s="8" t="s">
        <v>568</v>
      </c>
      <c r="E186" s="69" t="s">
        <v>569</v>
      </c>
      <c r="F186" s="8" t="s">
        <v>3708</v>
      </c>
      <c r="G186" s="8" t="s">
        <v>62</v>
      </c>
      <c r="H186" s="8" t="s">
        <v>570</v>
      </c>
      <c r="I186" s="9">
        <v>1</v>
      </c>
      <c r="J186" s="8" t="s">
        <v>1090</v>
      </c>
      <c r="K186" s="8" t="s">
        <v>3800</v>
      </c>
      <c r="L186" s="283" t="s">
        <v>3801</v>
      </c>
      <c r="M186" s="8"/>
      <c r="N186" s="8"/>
      <c r="O186" s="281"/>
      <c r="P186" s="8"/>
      <c r="Q186" s="132"/>
      <c r="R186" s="38"/>
      <c r="S186" s="8"/>
      <c r="T186" s="8"/>
      <c r="U186" s="8"/>
      <c r="V186" s="8"/>
      <c r="W186" s="8"/>
      <c r="X186" s="8"/>
      <c r="Y186" s="8"/>
      <c r="Z186" s="8"/>
      <c r="AA186" s="8"/>
    </row>
    <row r="187" spans="1:51" ht="157.5">
      <c r="A187" s="8" t="s">
        <v>16</v>
      </c>
      <c r="B187" s="29" t="s">
        <v>274</v>
      </c>
      <c r="C187" s="8" t="s">
        <v>571</v>
      </c>
      <c r="D187" s="8" t="s">
        <v>572</v>
      </c>
      <c r="E187" s="8" t="s">
        <v>573</v>
      </c>
      <c r="F187" s="8" t="s">
        <v>3710</v>
      </c>
      <c r="G187" s="8" t="s">
        <v>62</v>
      </c>
      <c r="H187" s="8" t="s">
        <v>574</v>
      </c>
      <c r="I187" s="9">
        <v>1</v>
      </c>
      <c r="J187" s="8" t="s">
        <v>1191</v>
      </c>
      <c r="K187" s="8" t="s">
        <v>3802</v>
      </c>
      <c r="L187" s="283" t="s">
        <v>1387</v>
      </c>
      <c r="M187" s="8" t="s">
        <v>11</v>
      </c>
      <c r="N187" s="8"/>
      <c r="O187" s="281"/>
      <c r="P187" s="8"/>
      <c r="Q187" s="132"/>
      <c r="R187" s="38"/>
      <c r="S187" s="8"/>
      <c r="T187" s="8"/>
      <c r="U187" s="8"/>
      <c r="V187" s="8"/>
      <c r="W187" s="8"/>
      <c r="X187" s="8"/>
      <c r="Y187" s="8"/>
      <c r="Z187" s="8"/>
      <c r="AA187" s="8"/>
    </row>
    <row r="188" spans="1:51" ht="141.75">
      <c r="A188" s="8" t="s">
        <v>16</v>
      </c>
      <c r="B188" s="29" t="s">
        <v>274</v>
      </c>
      <c r="C188" s="8" t="s">
        <v>571</v>
      </c>
      <c r="D188" s="8" t="s">
        <v>575</v>
      </c>
      <c r="E188" s="8" t="s">
        <v>576</v>
      </c>
      <c r="F188" s="8" t="s">
        <v>3710</v>
      </c>
      <c r="G188" s="8" t="s">
        <v>62</v>
      </c>
      <c r="H188" s="8" t="s">
        <v>577</v>
      </c>
      <c r="I188" s="9">
        <v>1</v>
      </c>
      <c r="J188" s="8" t="s">
        <v>1191</v>
      </c>
      <c r="K188" s="8" t="s">
        <v>3803</v>
      </c>
      <c r="L188" s="283"/>
      <c r="M188" s="8" t="s">
        <v>11</v>
      </c>
      <c r="N188" s="8"/>
      <c r="O188" s="281"/>
      <c r="P188" s="8"/>
      <c r="Q188" s="132"/>
      <c r="R188" s="38"/>
      <c r="S188" s="8"/>
      <c r="T188" s="8"/>
      <c r="U188" s="8"/>
      <c r="V188" s="8"/>
      <c r="W188" s="8"/>
      <c r="X188" s="8"/>
      <c r="Y188" s="8"/>
      <c r="Z188" s="8"/>
      <c r="AA188" s="8"/>
    </row>
    <row r="189" spans="1:51" ht="110.25">
      <c r="A189" s="8" t="s">
        <v>16</v>
      </c>
      <c r="B189" s="29" t="s">
        <v>274</v>
      </c>
      <c r="C189" s="8" t="s">
        <v>571</v>
      </c>
      <c r="D189" s="8" t="s">
        <v>578</v>
      </c>
      <c r="E189" s="8" t="s">
        <v>579</v>
      </c>
      <c r="F189" s="8" t="s">
        <v>3718</v>
      </c>
      <c r="G189" s="8" t="s">
        <v>62</v>
      </c>
      <c r="H189" s="8" t="s">
        <v>580</v>
      </c>
      <c r="I189" s="9">
        <v>1</v>
      </c>
      <c r="J189" s="8" t="s">
        <v>1191</v>
      </c>
      <c r="K189" s="8" t="s">
        <v>3804</v>
      </c>
      <c r="L189" s="283"/>
      <c r="M189" s="8" t="s">
        <v>9</v>
      </c>
      <c r="N189" s="8"/>
      <c r="O189" s="281"/>
      <c r="P189" s="8"/>
      <c r="Q189" s="132"/>
      <c r="R189" s="38"/>
      <c r="S189" s="8"/>
      <c r="T189" s="8"/>
      <c r="U189" s="8"/>
      <c r="V189" s="8"/>
      <c r="W189" s="8"/>
      <c r="X189" s="8"/>
      <c r="Y189" s="8"/>
      <c r="Z189" s="8"/>
      <c r="AA189" s="8"/>
    </row>
    <row r="190" spans="1:51" s="5" customFormat="1" ht="47.25" hidden="1">
      <c r="A190" s="20" t="s">
        <v>16</v>
      </c>
      <c r="B190" s="30" t="s">
        <v>274</v>
      </c>
      <c r="C190" s="19" t="s">
        <v>581</v>
      </c>
      <c r="D190" s="19" t="s">
        <v>582</v>
      </c>
      <c r="E190" s="19" t="s">
        <v>582</v>
      </c>
      <c r="F190" s="19" t="s">
        <v>582</v>
      </c>
      <c r="G190" s="19" t="s">
        <v>582</v>
      </c>
      <c r="H190" s="19" t="s">
        <v>582</v>
      </c>
      <c r="I190" s="19" t="s">
        <v>582</v>
      </c>
      <c r="J190" s="19" t="s">
        <v>582</v>
      </c>
      <c r="K190" s="19" t="s">
        <v>582</v>
      </c>
      <c r="L190" s="19" t="s">
        <v>582</v>
      </c>
      <c r="M190" s="19" t="s">
        <v>582</v>
      </c>
      <c r="N190" s="19" t="s">
        <v>582</v>
      </c>
      <c r="O190" s="19" t="s">
        <v>582</v>
      </c>
      <c r="P190" s="19" t="s">
        <v>582</v>
      </c>
      <c r="Q190" s="48"/>
      <c r="R190" s="44" t="s">
        <v>582</v>
      </c>
      <c r="S190" s="19" t="s">
        <v>582</v>
      </c>
      <c r="T190" s="19" t="s">
        <v>582</v>
      </c>
      <c r="U190" s="19"/>
      <c r="V190" s="19" t="s">
        <v>582</v>
      </c>
      <c r="W190" s="19" t="s">
        <v>582</v>
      </c>
      <c r="X190" s="19" t="s">
        <v>582</v>
      </c>
      <c r="Y190" s="19" t="s">
        <v>582</v>
      </c>
      <c r="Z190" s="19" t="s">
        <v>582</v>
      </c>
      <c r="AA190" s="19" t="s">
        <v>582</v>
      </c>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220.5">
      <c r="A191" s="8" t="s">
        <v>16</v>
      </c>
      <c r="B191" s="29" t="s">
        <v>274</v>
      </c>
      <c r="C191" s="8" t="s">
        <v>583</v>
      </c>
      <c r="D191" s="8" t="s">
        <v>584</v>
      </c>
      <c r="E191" s="8" t="s">
        <v>585</v>
      </c>
      <c r="F191" s="8" t="s">
        <v>3708</v>
      </c>
      <c r="G191" s="8" t="s">
        <v>62</v>
      </c>
      <c r="H191" s="8" t="s">
        <v>586</v>
      </c>
      <c r="I191" s="9">
        <v>1</v>
      </c>
      <c r="J191" s="8" t="s">
        <v>1191</v>
      </c>
      <c r="K191" s="8" t="s">
        <v>3805</v>
      </c>
      <c r="L191" s="283"/>
      <c r="M191" s="8" t="s">
        <v>11</v>
      </c>
      <c r="N191" s="8"/>
      <c r="O191" s="281"/>
      <c r="P191" s="8"/>
      <c r="Q191" s="132"/>
      <c r="R191" s="38"/>
      <c r="S191" s="8"/>
      <c r="T191" s="8"/>
      <c r="U191" s="8"/>
      <c r="V191" s="8"/>
      <c r="W191" s="8"/>
      <c r="X191" s="8"/>
      <c r="Y191" s="8"/>
      <c r="Z191" s="8"/>
      <c r="AA191" s="8"/>
    </row>
    <row r="192" spans="1:51" ht="220.5">
      <c r="A192" s="8" t="s">
        <v>16</v>
      </c>
      <c r="B192" s="29" t="s">
        <v>587</v>
      </c>
      <c r="C192" s="8" t="s">
        <v>588</v>
      </c>
      <c r="D192" s="8" t="s">
        <v>589</v>
      </c>
      <c r="E192" s="8" t="s">
        <v>590</v>
      </c>
      <c r="F192" s="8" t="s">
        <v>3708</v>
      </c>
      <c r="G192" s="8" t="s">
        <v>62</v>
      </c>
      <c r="H192" s="8" t="s">
        <v>591</v>
      </c>
      <c r="I192" s="9">
        <v>1</v>
      </c>
      <c r="J192" s="8" t="s">
        <v>1090</v>
      </c>
      <c r="K192" s="8" t="s">
        <v>3806</v>
      </c>
      <c r="L192" s="283"/>
      <c r="M192" s="8" t="s">
        <v>9</v>
      </c>
      <c r="N192" s="8"/>
      <c r="O192" s="281"/>
      <c r="P192" s="8"/>
      <c r="Q192" s="132"/>
      <c r="R192" s="38"/>
      <c r="S192" s="8"/>
      <c r="T192" s="8"/>
      <c r="U192" s="8"/>
      <c r="V192" s="8"/>
      <c r="W192" s="8"/>
      <c r="X192" s="8"/>
      <c r="Y192" s="8"/>
      <c r="Z192" s="8"/>
      <c r="AA192" s="8"/>
    </row>
    <row r="193" spans="1:27" ht="56.25">
      <c r="A193" s="8" t="s">
        <v>16</v>
      </c>
      <c r="B193" s="29" t="s">
        <v>587</v>
      </c>
      <c r="C193" s="8" t="s">
        <v>588</v>
      </c>
      <c r="D193" s="8" t="s">
        <v>592</v>
      </c>
      <c r="E193" s="8" t="s">
        <v>351</v>
      </c>
      <c r="F193" s="20"/>
      <c r="G193" s="20" t="s">
        <v>62</v>
      </c>
      <c r="H193" s="20" t="s">
        <v>352</v>
      </c>
      <c r="I193" s="22">
        <v>1</v>
      </c>
      <c r="J193" s="20"/>
      <c r="K193" s="20"/>
      <c r="L193" s="278"/>
      <c r="M193" s="20"/>
      <c r="N193" s="20"/>
      <c r="O193" s="279"/>
      <c r="P193" s="20"/>
      <c r="Q193" s="132"/>
      <c r="R193" s="39"/>
      <c r="S193" s="20"/>
      <c r="T193" s="20"/>
      <c r="U193" s="20"/>
      <c r="V193" s="20"/>
      <c r="W193" s="20"/>
      <c r="X193" s="20"/>
      <c r="Y193" s="20"/>
      <c r="Z193" s="20"/>
      <c r="AA193" s="20"/>
    </row>
    <row r="194" spans="1:27" ht="94.5">
      <c r="A194" s="8" t="s">
        <v>16</v>
      </c>
      <c r="B194" s="29" t="s">
        <v>587</v>
      </c>
      <c r="C194" s="8" t="s">
        <v>588</v>
      </c>
      <c r="D194" s="8" t="s">
        <v>593</v>
      </c>
      <c r="E194" s="69" t="s">
        <v>594</v>
      </c>
      <c r="F194" s="8" t="s">
        <v>3710</v>
      </c>
      <c r="G194" s="8" t="s">
        <v>62</v>
      </c>
      <c r="H194" s="8" t="s">
        <v>352</v>
      </c>
      <c r="I194" s="9">
        <v>1</v>
      </c>
      <c r="J194" s="8" t="s">
        <v>1090</v>
      </c>
      <c r="K194" s="8" t="s">
        <v>3807</v>
      </c>
      <c r="L194" s="283"/>
      <c r="M194" s="8"/>
      <c r="N194" s="8"/>
      <c r="O194" s="281"/>
      <c r="P194" s="8"/>
      <c r="Q194" s="132"/>
      <c r="R194" s="38"/>
      <c r="S194" s="8"/>
      <c r="T194" s="8"/>
      <c r="U194" s="8"/>
      <c r="V194" s="8"/>
      <c r="W194" s="8"/>
      <c r="X194" s="8"/>
      <c r="Y194" s="8"/>
      <c r="Z194" s="8"/>
      <c r="AA194" s="8"/>
    </row>
    <row r="195" spans="1:27" ht="94.5">
      <c r="A195" s="8" t="s">
        <v>16</v>
      </c>
      <c r="B195" s="29" t="s">
        <v>587</v>
      </c>
      <c r="C195" s="8" t="s">
        <v>588</v>
      </c>
      <c r="D195" s="8" t="s">
        <v>593</v>
      </c>
      <c r="E195" s="69" t="s">
        <v>595</v>
      </c>
      <c r="F195" s="8" t="s">
        <v>3710</v>
      </c>
      <c r="G195" s="8" t="s">
        <v>62</v>
      </c>
      <c r="H195" s="8" t="s">
        <v>352</v>
      </c>
      <c r="I195" s="9">
        <v>1</v>
      </c>
      <c r="J195" s="8" t="s">
        <v>1090</v>
      </c>
      <c r="K195" s="8" t="s">
        <v>3807</v>
      </c>
      <c r="L195" s="283"/>
      <c r="M195" s="8"/>
      <c r="N195" s="8"/>
      <c r="O195" s="281"/>
      <c r="P195" s="8"/>
      <c r="Q195" s="132"/>
      <c r="R195" s="38"/>
      <c r="S195" s="8"/>
      <c r="T195" s="8"/>
      <c r="U195" s="8"/>
      <c r="V195" s="8"/>
      <c r="W195" s="8"/>
      <c r="X195" s="8"/>
      <c r="Y195" s="8"/>
      <c r="Z195" s="8"/>
      <c r="AA195" s="8"/>
    </row>
    <row r="196" spans="1:27" ht="94.5">
      <c r="A196" s="8" t="s">
        <v>16</v>
      </c>
      <c r="B196" s="29" t="s">
        <v>587</v>
      </c>
      <c r="C196" s="8" t="s">
        <v>588</v>
      </c>
      <c r="D196" s="8" t="s">
        <v>593</v>
      </c>
      <c r="E196" s="69" t="s">
        <v>596</v>
      </c>
      <c r="F196" s="8" t="s">
        <v>3710</v>
      </c>
      <c r="G196" s="8" t="s">
        <v>62</v>
      </c>
      <c r="H196" s="8" t="s">
        <v>352</v>
      </c>
      <c r="I196" s="9">
        <v>1</v>
      </c>
      <c r="J196" s="8" t="s">
        <v>1090</v>
      </c>
      <c r="K196" s="8" t="s">
        <v>3807</v>
      </c>
      <c r="L196" s="283"/>
      <c r="M196" s="8"/>
      <c r="N196" s="8"/>
      <c r="O196" s="281"/>
      <c r="P196" s="8"/>
      <c r="Q196" s="132"/>
      <c r="R196" s="38"/>
      <c r="S196" s="8"/>
      <c r="T196" s="8"/>
      <c r="U196" s="8"/>
      <c r="V196" s="8"/>
      <c r="W196" s="8"/>
      <c r="X196" s="8"/>
      <c r="Y196" s="8"/>
      <c r="Z196" s="8"/>
      <c r="AA196" s="8"/>
    </row>
    <row r="197" spans="1:27" ht="94.5">
      <c r="A197" s="8" t="s">
        <v>16</v>
      </c>
      <c r="B197" s="29" t="s">
        <v>587</v>
      </c>
      <c r="C197" s="8" t="s">
        <v>588</v>
      </c>
      <c r="D197" s="8" t="s">
        <v>593</v>
      </c>
      <c r="E197" s="69" t="s">
        <v>597</v>
      </c>
      <c r="F197" s="8" t="s">
        <v>3710</v>
      </c>
      <c r="G197" s="8" t="s">
        <v>62</v>
      </c>
      <c r="H197" s="8" t="s">
        <v>352</v>
      </c>
      <c r="I197" s="9">
        <v>1</v>
      </c>
      <c r="J197" s="8" t="s">
        <v>1090</v>
      </c>
      <c r="K197" s="8" t="s">
        <v>3807</v>
      </c>
      <c r="L197" s="283"/>
      <c r="M197" s="8"/>
      <c r="N197" s="8"/>
      <c r="O197" s="281"/>
      <c r="P197" s="8"/>
      <c r="Q197" s="132"/>
      <c r="R197" s="38"/>
      <c r="S197" s="8"/>
      <c r="T197" s="8"/>
      <c r="U197" s="8"/>
      <c r="V197" s="8"/>
      <c r="W197" s="8"/>
      <c r="X197" s="8"/>
      <c r="Y197" s="8"/>
      <c r="Z197" s="8"/>
      <c r="AA197" s="8"/>
    </row>
    <row r="198" spans="1:27" ht="94.5">
      <c r="A198" s="8" t="s">
        <v>16</v>
      </c>
      <c r="B198" s="29" t="s">
        <v>587</v>
      </c>
      <c r="C198" s="8" t="s">
        <v>588</v>
      </c>
      <c r="D198" s="8" t="s">
        <v>598</v>
      </c>
      <c r="E198" s="69" t="s">
        <v>599</v>
      </c>
      <c r="F198" s="8" t="s">
        <v>3710</v>
      </c>
      <c r="G198" s="8" t="s">
        <v>62</v>
      </c>
      <c r="H198" s="8" t="s">
        <v>352</v>
      </c>
      <c r="I198" s="9">
        <v>1</v>
      </c>
      <c r="J198" s="8" t="s">
        <v>1090</v>
      </c>
      <c r="K198" s="8" t="s">
        <v>3807</v>
      </c>
      <c r="L198" s="283"/>
      <c r="M198" s="8"/>
      <c r="N198" s="8"/>
      <c r="O198" s="281"/>
      <c r="P198" s="8"/>
      <c r="Q198" s="132"/>
      <c r="R198" s="38"/>
      <c r="S198" s="8"/>
      <c r="T198" s="8"/>
      <c r="U198" s="8"/>
      <c r="V198" s="8"/>
      <c r="W198" s="8"/>
      <c r="X198" s="8"/>
      <c r="Y198" s="8"/>
      <c r="Z198" s="8"/>
      <c r="AA198" s="8"/>
    </row>
    <row r="199" spans="1:27" ht="94.5">
      <c r="A199" s="8" t="s">
        <v>16</v>
      </c>
      <c r="B199" s="29" t="s">
        <v>587</v>
      </c>
      <c r="C199" s="8" t="s">
        <v>588</v>
      </c>
      <c r="D199" s="8" t="s">
        <v>600</v>
      </c>
      <c r="E199" s="69" t="s">
        <v>601</v>
      </c>
      <c r="F199" s="8" t="s">
        <v>3710</v>
      </c>
      <c r="G199" s="8" t="s">
        <v>62</v>
      </c>
      <c r="H199" s="8" t="s">
        <v>352</v>
      </c>
      <c r="I199" s="9">
        <v>1</v>
      </c>
      <c r="J199" s="8" t="s">
        <v>1090</v>
      </c>
      <c r="K199" s="8" t="s">
        <v>3808</v>
      </c>
      <c r="L199" s="283"/>
      <c r="M199" s="8"/>
      <c r="N199" s="8"/>
      <c r="O199" s="281"/>
      <c r="P199" s="8"/>
      <c r="Q199" s="132"/>
      <c r="R199" s="38"/>
      <c r="S199" s="8"/>
      <c r="T199" s="8"/>
      <c r="U199" s="8"/>
      <c r="V199" s="8"/>
      <c r="W199" s="8"/>
      <c r="X199" s="8"/>
      <c r="Y199" s="8"/>
      <c r="Z199" s="8"/>
      <c r="AA199" s="8"/>
    </row>
    <row r="200" spans="1:27" ht="94.5">
      <c r="A200" s="8" t="s">
        <v>16</v>
      </c>
      <c r="B200" s="29" t="s">
        <v>587</v>
      </c>
      <c r="C200" s="8" t="s">
        <v>588</v>
      </c>
      <c r="D200" s="8" t="s">
        <v>602</v>
      </c>
      <c r="E200" s="69" t="s">
        <v>603</v>
      </c>
      <c r="F200" s="8" t="s">
        <v>3710</v>
      </c>
      <c r="G200" s="8" t="s">
        <v>62</v>
      </c>
      <c r="H200" s="8" t="s">
        <v>352</v>
      </c>
      <c r="I200" s="9">
        <v>1</v>
      </c>
      <c r="J200" s="8" t="s">
        <v>1090</v>
      </c>
      <c r="K200" s="8" t="s">
        <v>3809</v>
      </c>
      <c r="L200" s="283"/>
      <c r="M200" s="8"/>
      <c r="N200" s="8"/>
      <c r="O200" s="281"/>
      <c r="P200" s="8"/>
      <c r="Q200" s="132"/>
      <c r="R200" s="38"/>
      <c r="S200" s="8"/>
      <c r="T200" s="8"/>
      <c r="U200" s="8"/>
      <c r="V200" s="8"/>
      <c r="W200" s="8"/>
      <c r="X200" s="8"/>
      <c r="Y200" s="8"/>
      <c r="Z200" s="8"/>
      <c r="AA200" s="8"/>
    </row>
    <row r="201" spans="1:27" ht="94.5">
      <c r="A201" s="8" t="s">
        <v>16</v>
      </c>
      <c r="B201" s="29" t="s">
        <v>587</v>
      </c>
      <c r="C201" s="8" t="s">
        <v>588</v>
      </c>
      <c r="D201" s="8" t="s">
        <v>604</v>
      </c>
      <c r="E201" s="69" t="s">
        <v>605</v>
      </c>
      <c r="F201" s="8" t="s">
        <v>3710</v>
      </c>
      <c r="G201" s="8" t="s">
        <v>62</v>
      </c>
      <c r="H201" s="8" t="s">
        <v>352</v>
      </c>
      <c r="I201" s="9">
        <v>1</v>
      </c>
      <c r="J201" s="8" t="s">
        <v>1090</v>
      </c>
      <c r="K201" s="8" t="s">
        <v>3810</v>
      </c>
      <c r="L201" s="283"/>
      <c r="M201" s="8"/>
      <c r="N201" s="8"/>
      <c r="O201" s="281"/>
      <c r="P201" s="8"/>
      <c r="Q201" s="132"/>
      <c r="R201" s="38"/>
      <c r="S201" s="8"/>
      <c r="T201" s="8"/>
      <c r="U201" s="8"/>
      <c r="V201" s="8"/>
      <c r="W201" s="8"/>
      <c r="X201" s="8"/>
      <c r="Y201" s="8"/>
      <c r="Z201" s="8"/>
      <c r="AA201" s="8"/>
    </row>
    <row r="202" spans="1:27" ht="94.5">
      <c r="A202" s="8" t="s">
        <v>16</v>
      </c>
      <c r="B202" s="29" t="s">
        <v>587</v>
      </c>
      <c r="C202" s="8" t="s">
        <v>588</v>
      </c>
      <c r="D202" s="8" t="s">
        <v>606</v>
      </c>
      <c r="E202" s="69" t="s">
        <v>607</v>
      </c>
      <c r="F202" s="8" t="s">
        <v>3710</v>
      </c>
      <c r="G202" s="8" t="s">
        <v>62</v>
      </c>
      <c r="H202" s="8" t="s">
        <v>352</v>
      </c>
      <c r="I202" s="9">
        <v>1</v>
      </c>
      <c r="J202" s="8" t="s">
        <v>1090</v>
      </c>
      <c r="K202" s="8" t="s">
        <v>3811</v>
      </c>
      <c r="L202" s="283"/>
      <c r="M202" s="8"/>
      <c r="N202" s="8"/>
      <c r="O202" s="281"/>
      <c r="P202" s="8"/>
      <c r="Q202" s="132"/>
      <c r="R202" s="38"/>
      <c r="S202" s="8"/>
      <c r="T202" s="8"/>
      <c r="U202" s="8"/>
      <c r="V202" s="8"/>
      <c r="W202" s="8"/>
      <c r="X202" s="8"/>
      <c r="Y202" s="8"/>
      <c r="Z202" s="8"/>
      <c r="AA202" s="8"/>
    </row>
    <row r="203" spans="1:27" ht="94.5">
      <c r="A203" s="8" t="s">
        <v>16</v>
      </c>
      <c r="B203" s="29" t="s">
        <v>587</v>
      </c>
      <c r="C203" s="8" t="s">
        <v>588</v>
      </c>
      <c r="D203" s="8" t="s">
        <v>608</v>
      </c>
      <c r="E203" s="69" t="s">
        <v>609</v>
      </c>
      <c r="F203" s="8" t="s">
        <v>3710</v>
      </c>
      <c r="G203" s="8" t="s">
        <v>62</v>
      </c>
      <c r="H203" s="8" t="s">
        <v>352</v>
      </c>
      <c r="I203" s="9">
        <v>1</v>
      </c>
      <c r="J203" s="8" t="s">
        <v>1090</v>
      </c>
      <c r="K203" s="8" t="s">
        <v>3812</v>
      </c>
      <c r="L203" s="283"/>
      <c r="M203" s="8"/>
      <c r="N203" s="8"/>
      <c r="O203" s="281"/>
      <c r="P203" s="8"/>
      <c r="Q203" s="132"/>
      <c r="R203" s="38"/>
      <c r="S203" s="8"/>
      <c r="T203" s="8"/>
      <c r="U203" s="8"/>
      <c r="V203" s="8"/>
      <c r="W203" s="8"/>
      <c r="X203" s="8"/>
      <c r="Y203" s="8"/>
      <c r="Z203" s="8"/>
      <c r="AA203" s="8"/>
    </row>
    <row r="204" spans="1:27" ht="94.5">
      <c r="A204" s="8" t="s">
        <v>16</v>
      </c>
      <c r="B204" s="29" t="s">
        <v>587</v>
      </c>
      <c r="C204" s="8" t="s">
        <v>588</v>
      </c>
      <c r="D204" s="8" t="s">
        <v>610</v>
      </c>
      <c r="E204" s="8" t="s">
        <v>611</v>
      </c>
      <c r="F204" s="8" t="s">
        <v>3710</v>
      </c>
      <c r="G204" s="8" t="s">
        <v>62</v>
      </c>
      <c r="H204" s="8" t="s">
        <v>612</v>
      </c>
      <c r="I204" s="8" t="s">
        <v>110</v>
      </c>
      <c r="J204" s="8" t="s">
        <v>1191</v>
      </c>
      <c r="K204" s="8" t="s">
        <v>3813</v>
      </c>
      <c r="L204" s="283"/>
      <c r="M204" s="8" t="s">
        <v>10</v>
      </c>
      <c r="N204" s="8"/>
      <c r="O204" s="281"/>
      <c r="P204" s="8"/>
      <c r="Q204" s="132"/>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289"/>
      <c r="M205" s="14"/>
      <c r="N205" s="14"/>
      <c r="O205" s="290"/>
      <c r="P205" s="14"/>
      <c r="Q205" s="305"/>
      <c r="R205" s="42"/>
      <c r="S205" s="14"/>
      <c r="T205" s="14"/>
      <c r="U205" s="14"/>
      <c r="V205" s="14"/>
      <c r="W205" s="14"/>
      <c r="X205" s="14"/>
      <c r="Y205" s="14"/>
      <c r="Z205" s="14"/>
      <c r="AA205" s="14"/>
    </row>
    <row r="206" spans="1:27" ht="94.5">
      <c r="A206" s="8" t="s">
        <v>16</v>
      </c>
      <c r="B206" s="29" t="s">
        <v>587</v>
      </c>
      <c r="C206" s="8" t="s">
        <v>613</v>
      </c>
      <c r="D206" s="8" t="s">
        <v>617</v>
      </c>
      <c r="E206" s="8" t="s">
        <v>615</v>
      </c>
      <c r="F206" s="8" t="s">
        <v>3710</v>
      </c>
      <c r="G206" s="8" t="s">
        <v>58</v>
      </c>
      <c r="H206" s="8" t="s">
        <v>428</v>
      </c>
      <c r="I206" s="9">
        <v>1</v>
      </c>
      <c r="J206" s="8" t="s">
        <v>1191</v>
      </c>
      <c r="K206" s="8" t="s">
        <v>3814</v>
      </c>
      <c r="L206" s="283"/>
      <c r="M206" s="8" t="s">
        <v>10</v>
      </c>
      <c r="N206" s="8"/>
      <c r="O206" s="281"/>
      <c r="P206" s="8"/>
      <c r="Q206" s="132"/>
      <c r="R206" s="38"/>
      <c r="S206" s="8"/>
      <c r="T206" s="8"/>
      <c r="U206" s="8"/>
      <c r="V206" s="8"/>
      <c r="W206" s="8"/>
      <c r="X206" s="8"/>
      <c r="Y206" s="8"/>
      <c r="Z206" s="8"/>
      <c r="AA206" s="8"/>
    </row>
    <row r="207" spans="1:27" ht="63" hidden="1">
      <c r="A207" s="8" t="s">
        <v>16</v>
      </c>
      <c r="B207" s="29" t="s">
        <v>587</v>
      </c>
      <c r="C207" s="8" t="s">
        <v>613</v>
      </c>
      <c r="D207" s="8" t="s">
        <v>618</v>
      </c>
      <c r="E207" s="8" t="s">
        <v>619</v>
      </c>
      <c r="F207" s="8"/>
      <c r="G207" s="8" t="s">
        <v>71</v>
      </c>
      <c r="H207" s="8" t="s">
        <v>432</v>
      </c>
      <c r="I207" s="8">
        <v>2030</v>
      </c>
      <c r="J207" s="8"/>
      <c r="K207" s="8"/>
      <c r="L207" s="283"/>
      <c r="M207" s="8"/>
      <c r="N207" s="8"/>
      <c r="O207" s="281"/>
      <c r="P207" s="8"/>
      <c r="Q207" s="132"/>
      <c r="R207" s="38"/>
      <c r="S207" s="8"/>
      <c r="T207" s="8"/>
      <c r="U207" s="8"/>
      <c r="V207" s="8"/>
      <c r="W207" s="8"/>
      <c r="X207" s="8"/>
      <c r="Y207" s="8"/>
      <c r="Z207" s="8"/>
      <c r="AA207" s="8"/>
    </row>
    <row r="208" spans="1:27" ht="204.75">
      <c r="A208" s="8" t="s">
        <v>16</v>
      </c>
      <c r="B208" s="29" t="s">
        <v>587</v>
      </c>
      <c r="C208" s="8" t="s">
        <v>620</v>
      </c>
      <c r="D208" s="8" t="s">
        <v>621</v>
      </c>
      <c r="E208" s="8" t="s">
        <v>622</v>
      </c>
      <c r="F208" s="8" t="s">
        <v>3710</v>
      </c>
      <c r="G208" s="8" t="s">
        <v>58</v>
      </c>
      <c r="H208" s="8" t="s">
        <v>623</v>
      </c>
      <c r="I208" s="9">
        <v>1</v>
      </c>
      <c r="J208" s="8" t="s">
        <v>1090</v>
      </c>
      <c r="K208" s="8" t="s">
        <v>3815</v>
      </c>
      <c r="L208" s="283"/>
      <c r="M208" s="8"/>
      <c r="N208" s="8"/>
      <c r="O208" s="281"/>
      <c r="P208" s="8"/>
      <c r="Q208" s="132"/>
      <c r="R208" s="38"/>
      <c r="S208" s="8"/>
      <c r="T208" s="8"/>
      <c r="U208" s="8"/>
      <c r="V208" s="8"/>
      <c r="W208" s="8"/>
      <c r="X208" s="8"/>
      <c r="Y208" s="8"/>
      <c r="Z208" s="8"/>
      <c r="AA208" s="8"/>
    </row>
    <row r="209" spans="1:27" ht="94.5">
      <c r="A209" s="8" t="s">
        <v>16</v>
      </c>
      <c r="B209" s="29" t="s">
        <v>587</v>
      </c>
      <c r="C209" s="8" t="s">
        <v>624</v>
      </c>
      <c r="D209" s="8" t="s">
        <v>625</v>
      </c>
      <c r="E209" s="8" t="s">
        <v>626</v>
      </c>
      <c r="F209" s="8" t="s">
        <v>3710</v>
      </c>
      <c r="G209" s="8" t="s">
        <v>62</v>
      </c>
      <c r="H209" s="8" t="s">
        <v>627</v>
      </c>
      <c r="I209" s="9">
        <v>0.5</v>
      </c>
      <c r="J209" s="8" t="s">
        <v>1191</v>
      </c>
      <c r="K209" s="8" t="s">
        <v>3816</v>
      </c>
      <c r="L209" s="283"/>
      <c r="M209" s="8" t="s">
        <v>9</v>
      </c>
      <c r="N209" s="8"/>
      <c r="O209" s="281"/>
      <c r="P209" s="8"/>
      <c r="Q209" s="132"/>
      <c r="R209" s="38"/>
      <c r="S209" s="8"/>
      <c r="T209" s="8"/>
      <c r="U209" s="8"/>
      <c r="V209" s="8"/>
      <c r="W209" s="8"/>
      <c r="X209" s="8"/>
      <c r="Y209" s="8"/>
      <c r="Z209" s="8"/>
      <c r="AA209" s="8"/>
    </row>
    <row r="210" spans="1:27" ht="94.5">
      <c r="A210" s="8" t="s">
        <v>16</v>
      </c>
      <c r="B210" s="29" t="s">
        <v>587</v>
      </c>
      <c r="C210" s="8" t="s">
        <v>624</v>
      </c>
      <c r="D210" s="8" t="s">
        <v>628</v>
      </c>
      <c r="E210" s="8" t="s">
        <v>629</v>
      </c>
      <c r="F210" s="8" t="s">
        <v>3710</v>
      </c>
      <c r="G210" s="8" t="s">
        <v>62</v>
      </c>
      <c r="H210" s="8" t="s">
        <v>476</v>
      </c>
      <c r="I210" s="8" t="s">
        <v>210</v>
      </c>
      <c r="J210" s="8" t="s">
        <v>1191</v>
      </c>
      <c r="K210" s="8" t="s">
        <v>3816</v>
      </c>
      <c r="L210" s="283"/>
      <c r="M210" s="8" t="s">
        <v>9</v>
      </c>
      <c r="N210" s="8"/>
      <c r="O210" s="281"/>
      <c r="P210" s="8"/>
      <c r="Q210" s="132"/>
      <c r="R210" s="38"/>
      <c r="S210" s="8"/>
      <c r="T210" s="8"/>
      <c r="U210" s="8"/>
      <c r="V210" s="8"/>
      <c r="W210" s="8"/>
      <c r="X210" s="8"/>
      <c r="Y210" s="8"/>
      <c r="Z210" s="8"/>
      <c r="AA210" s="8"/>
    </row>
    <row r="211" spans="1:27" ht="94.5">
      <c r="A211" s="8" t="s">
        <v>16</v>
      </c>
      <c r="B211" s="29" t="s">
        <v>587</v>
      </c>
      <c r="C211" s="8" t="s">
        <v>624</v>
      </c>
      <c r="D211" s="8" t="s">
        <v>630</v>
      </c>
      <c r="E211" s="8" t="s">
        <v>631</v>
      </c>
      <c r="F211" s="8" t="s">
        <v>3710</v>
      </c>
      <c r="G211" s="8" t="s">
        <v>62</v>
      </c>
      <c r="H211" s="8" t="s">
        <v>476</v>
      </c>
      <c r="I211" s="8" t="s">
        <v>210</v>
      </c>
      <c r="J211" s="8" t="s">
        <v>1191</v>
      </c>
      <c r="K211" s="8" t="s">
        <v>3816</v>
      </c>
      <c r="L211" s="283"/>
      <c r="M211" s="8" t="s">
        <v>9</v>
      </c>
      <c r="N211" s="8"/>
      <c r="O211" s="281"/>
      <c r="P211" s="8"/>
      <c r="Q211" s="132"/>
      <c r="R211" s="38"/>
      <c r="S211" s="8"/>
      <c r="T211" s="8"/>
      <c r="U211" s="8"/>
      <c r="V211" s="8"/>
      <c r="W211" s="8"/>
      <c r="X211" s="8"/>
      <c r="Y211" s="8"/>
      <c r="Z211" s="8"/>
      <c r="AA211" s="8"/>
    </row>
    <row r="212" spans="1:27" ht="252">
      <c r="A212" s="8" t="s">
        <v>16</v>
      </c>
      <c r="B212" s="29" t="s">
        <v>587</v>
      </c>
      <c r="C212" s="8" t="s">
        <v>624</v>
      </c>
      <c r="D212" s="8" t="s">
        <v>632</v>
      </c>
      <c r="E212" s="8" t="s">
        <v>633</v>
      </c>
      <c r="F212" s="8" t="s">
        <v>3710</v>
      </c>
      <c r="G212" s="8" t="s">
        <v>62</v>
      </c>
      <c r="H212" s="8" t="s">
        <v>634</v>
      </c>
      <c r="I212" s="9">
        <v>1</v>
      </c>
      <c r="J212" s="8" t="s">
        <v>1191</v>
      </c>
      <c r="K212" s="8" t="s">
        <v>3816</v>
      </c>
      <c r="L212" s="283"/>
      <c r="M212" s="8" t="s">
        <v>9</v>
      </c>
      <c r="N212" s="8"/>
      <c r="O212" s="281"/>
      <c r="P212" s="8"/>
      <c r="Q212" s="132"/>
      <c r="R212" s="38"/>
      <c r="S212" s="8"/>
      <c r="T212" s="8"/>
      <c r="U212" s="8"/>
      <c r="V212" s="8"/>
      <c r="W212" s="8"/>
      <c r="X212" s="8"/>
      <c r="Y212" s="8"/>
      <c r="Z212" s="8"/>
      <c r="AA212" s="8"/>
    </row>
    <row r="213" spans="1:27" ht="78.75" hidden="1">
      <c r="A213" s="8" t="s">
        <v>16</v>
      </c>
      <c r="B213" s="29" t="s">
        <v>587</v>
      </c>
      <c r="C213" s="8" t="s">
        <v>624</v>
      </c>
      <c r="D213" s="8" t="s">
        <v>635</v>
      </c>
      <c r="E213" s="8" t="s">
        <v>636</v>
      </c>
      <c r="F213" s="8"/>
      <c r="G213" s="8" t="s">
        <v>71</v>
      </c>
      <c r="H213" s="8" t="s">
        <v>637</v>
      </c>
      <c r="I213" s="8" t="s">
        <v>638</v>
      </c>
      <c r="J213" s="8"/>
      <c r="K213" s="8"/>
      <c r="L213" s="283"/>
      <c r="M213" s="8"/>
      <c r="N213" s="8"/>
      <c r="O213" s="281"/>
      <c r="P213" s="8"/>
      <c r="Q213" s="132"/>
      <c r="R213" s="38"/>
      <c r="S213" s="8"/>
      <c r="T213" s="8"/>
      <c r="U213" s="8"/>
      <c r="V213" s="8"/>
      <c r="W213" s="8"/>
      <c r="X213" s="8"/>
      <c r="Y213" s="8"/>
      <c r="Z213" s="8"/>
      <c r="AA213" s="8"/>
    </row>
    <row r="214" spans="1:27">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346.5">
      <c r="A215" s="8" t="s">
        <v>18</v>
      </c>
      <c r="B215" s="29" t="s">
        <v>54</v>
      </c>
      <c r="C215" s="8" t="s">
        <v>640</v>
      </c>
      <c r="D215" s="8" t="s">
        <v>641</v>
      </c>
      <c r="E215" s="8" t="s">
        <v>642</v>
      </c>
      <c r="F215" s="8" t="s">
        <v>3710</v>
      </c>
      <c r="G215" s="8" t="s">
        <v>62</v>
      </c>
      <c r="H215" s="8" t="s">
        <v>484</v>
      </c>
      <c r="I215" s="8" t="s">
        <v>485</v>
      </c>
      <c r="J215" s="8" t="s">
        <v>1191</v>
      </c>
      <c r="K215" s="8" t="s">
        <v>3817</v>
      </c>
      <c r="L215" s="283"/>
      <c r="M215" s="8" t="s">
        <v>9</v>
      </c>
      <c r="N215" s="8"/>
      <c r="O215" s="281"/>
      <c r="P215" s="8"/>
      <c r="Q215" s="132"/>
      <c r="R215" s="38"/>
      <c r="S215" s="8"/>
      <c r="T215" s="8"/>
      <c r="U215" s="8"/>
      <c r="V215" s="8"/>
      <c r="W215" s="8"/>
      <c r="X215" s="8"/>
      <c r="Y215" s="8"/>
      <c r="Z215" s="8"/>
      <c r="AA215" s="8"/>
    </row>
    <row r="216" spans="1:27" ht="283.5">
      <c r="A216" s="8" t="s">
        <v>18</v>
      </c>
      <c r="B216" s="29" t="s">
        <v>54</v>
      </c>
      <c r="C216" s="8" t="s">
        <v>643</v>
      </c>
      <c r="D216" s="8" t="s">
        <v>644</v>
      </c>
      <c r="E216" s="8" t="s">
        <v>645</v>
      </c>
      <c r="F216" s="8" t="s">
        <v>3710</v>
      </c>
      <c r="G216" s="8" t="s">
        <v>62</v>
      </c>
      <c r="H216" s="8" t="s">
        <v>646</v>
      </c>
      <c r="I216" s="8" t="s">
        <v>85</v>
      </c>
      <c r="J216" s="8" t="s">
        <v>1191</v>
      </c>
      <c r="K216" s="8" t="s">
        <v>3818</v>
      </c>
      <c r="L216" s="283"/>
      <c r="M216" s="8" t="s">
        <v>9</v>
      </c>
      <c r="N216" s="8" t="s">
        <v>3819</v>
      </c>
      <c r="O216" s="281"/>
      <c r="P216" s="8"/>
      <c r="Q216" s="132"/>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283"/>
      <c r="M217" s="8"/>
      <c r="N217" s="8"/>
      <c r="O217" s="281"/>
      <c r="P217" s="8"/>
      <c r="Q217" s="132"/>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283"/>
      <c r="M218" s="8"/>
      <c r="N218" s="8"/>
      <c r="O218" s="281"/>
      <c r="P218" s="8"/>
      <c r="Q218" s="132"/>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283"/>
      <c r="M219" s="8"/>
      <c r="N219" s="8"/>
      <c r="O219" s="281"/>
      <c r="P219" s="8"/>
      <c r="Q219" s="132"/>
      <c r="R219" s="38"/>
      <c r="S219" s="8"/>
      <c r="T219" s="8"/>
      <c r="U219" s="8"/>
      <c r="V219" s="8"/>
      <c r="W219" s="8"/>
      <c r="X219" s="8"/>
      <c r="Y219" s="8"/>
      <c r="Z219" s="8"/>
      <c r="AA219" s="8"/>
    </row>
    <row r="220" spans="1:27" ht="409.5">
      <c r="A220" s="8" t="s">
        <v>18</v>
      </c>
      <c r="B220" s="29" t="s">
        <v>54</v>
      </c>
      <c r="C220" s="8" t="s">
        <v>643</v>
      </c>
      <c r="D220" s="8" t="s">
        <v>656</v>
      </c>
      <c r="E220" s="8" t="s">
        <v>657</v>
      </c>
      <c r="F220" s="8" t="s">
        <v>3708</v>
      </c>
      <c r="G220" s="8" t="s">
        <v>62</v>
      </c>
      <c r="H220" s="8" t="s">
        <v>658</v>
      </c>
      <c r="I220" s="8" t="s">
        <v>659</v>
      </c>
      <c r="J220" s="8" t="s">
        <v>1191</v>
      </c>
      <c r="K220" s="8" t="s">
        <v>3820</v>
      </c>
      <c r="L220" s="283"/>
      <c r="M220" s="8" t="s">
        <v>11</v>
      </c>
      <c r="N220" s="8" t="s">
        <v>3715</v>
      </c>
      <c r="O220" s="281"/>
      <c r="P220" s="8"/>
      <c r="Q220" s="132"/>
      <c r="R220" s="38"/>
      <c r="S220" s="8"/>
      <c r="T220" s="8"/>
      <c r="U220" s="8"/>
      <c r="V220" s="8"/>
      <c r="W220" s="8"/>
      <c r="X220" s="8"/>
      <c r="Y220" s="8"/>
      <c r="Z220" s="8"/>
      <c r="AA220" s="8"/>
    </row>
    <row r="221" spans="1:27" ht="141.75">
      <c r="A221" s="8" t="s">
        <v>18</v>
      </c>
      <c r="B221" s="29" t="s">
        <v>54</v>
      </c>
      <c r="C221" s="8" t="s">
        <v>660</v>
      </c>
      <c r="D221" s="8" t="s">
        <v>661</v>
      </c>
      <c r="E221" s="8" t="s">
        <v>529</v>
      </c>
      <c r="F221" s="8" t="s">
        <v>3708</v>
      </c>
      <c r="G221" s="8" t="s">
        <v>62</v>
      </c>
      <c r="H221" s="8" t="s">
        <v>530</v>
      </c>
      <c r="I221" s="8" t="s">
        <v>135</v>
      </c>
      <c r="J221" s="8" t="s">
        <v>1191</v>
      </c>
      <c r="K221" s="8" t="s">
        <v>3821</v>
      </c>
      <c r="L221" s="283"/>
      <c r="M221" s="8" t="s">
        <v>11</v>
      </c>
      <c r="N221" s="8"/>
      <c r="O221" s="281"/>
      <c r="P221" s="8"/>
      <c r="Q221" s="132"/>
      <c r="R221" s="38"/>
      <c r="S221" s="8"/>
      <c r="T221" s="8"/>
      <c r="U221" s="8"/>
      <c r="V221" s="8"/>
      <c r="W221" s="8"/>
      <c r="X221" s="8"/>
      <c r="Y221" s="8"/>
      <c r="Z221" s="8"/>
      <c r="AA221" s="8"/>
    </row>
    <row r="222" spans="1:27" ht="94.5">
      <c r="A222" s="8" t="s">
        <v>18</v>
      </c>
      <c r="B222" s="29" t="s">
        <v>54</v>
      </c>
      <c r="C222" s="8" t="s">
        <v>660</v>
      </c>
      <c r="D222" s="8" t="s">
        <v>662</v>
      </c>
      <c r="E222" s="8" t="s">
        <v>524</v>
      </c>
      <c r="F222" s="8"/>
      <c r="G222" s="8" t="s">
        <v>62</v>
      </c>
      <c r="H222" s="8" t="s">
        <v>525</v>
      </c>
      <c r="I222" s="8" t="s">
        <v>526</v>
      </c>
      <c r="J222" s="8" t="s">
        <v>8</v>
      </c>
      <c r="K222" s="8"/>
      <c r="L222" s="283"/>
      <c r="M222" s="8"/>
      <c r="N222" s="8"/>
      <c r="O222" s="281"/>
      <c r="P222" s="8"/>
      <c r="Q222" s="132"/>
      <c r="R222" s="38"/>
      <c r="S222" s="8"/>
      <c r="T222" s="8"/>
      <c r="U222" s="8"/>
      <c r="V222" s="8"/>
      <c r="W222" s="8"/>
      <c r="X222" s="8"/>
      <c r="Y222" s="8"/>
      <c r="Z222" s="8"/>
      <c r="AA222" s="8"/>
    </row>
    <row r="223" spans="1:27" ht="157.5">
      <c r="A223" s="8" t="s">
        <v>18</v>
      </c>
      <c r="B223" s="29" t="s">
        <v>195</v>
      </c>
      <c r="C223" s="8" t="s">
        <v>663</v>
      </c>
      <c r="D223" s="8" t="s">
        <v>664</v>
      </c>
      <c r="E223" s="8" t="s">
        <v>665</v>
      </c>
      <c r="F223" s="8" t="s">
        <v>3708</v>
      </c>
      <c r="G223" s="8" t="s">
        <v>62</v>
      </c>
      <c r="H223" s="8" t="s">
        <v>666</v>
      </c>
      <c r="I223" s="8" t="s">
        <v>667</v>
      </c>
      <c r="J223" s="8" t="s">
        <v>1090</v>
      </c>
      <c r="K223" s="8" t="s">
        <v>3822</v>
      </c>
      <c r="L223" s="283"/>
      <c r="M223" s="8"/>
      <c r="N223" s="8"/>
      <c r="O223" s="281"/>
      <c r="P223" s="8"/>
      <c r="Q223" s="132"/>
      <c r="R223" s="38"/>
      <c r="S223" s="8"/>
      <c r="T223" s="8"/>
      <c r="U223" s="8"/>
      <c r="V223" s="8"/>
      <c r="W223" s="8"/>
      <c r="X223" s="8"/>
      <c r="Y223" s="8"/>
      <c r="Z223" s="8"/>
      <c r="AA223" s="8"/>
    </row>
    <row r="224" spans="1:27" ht="141.75">
      <c r="A224" s="8" t="s">
        <v>18</v>
      </c>
      <c r="B224" s="29" t="s">
        <v>195</v>
      </c>
      <c r="C224" s="8" t="s">
        <v>663</v>
      </c>
      <c r="D224" s="8" t="s">
        <v>668</v>
      </c>
      <c r="E224" s="8" t="s">
        <v>669</v>
      </c>
      <c r="F224" s="8" t="s">
        <v>3708</v>
      </c>
      <c r="G224" s="8" t="s">
        <v>62</v>
      </c>
      <c r="H224" s="8" t="s">
        <v>670</v>
      </c>
      <c r="I224" s="8" t="s">
        <v>671</v>
      </c>
      <c r="J224" s="8" t="s">
        <v>8</v>
      </c>
      <c r="K224" s="8" t="s">
        <v>3823</v>
      </c>
      <c r="L224" s="283"/>
      <c r="M224" s="8" t="s">
        <v>11</v>
      </c>
      <c r="N224" s="8"/>
      <c r="O224" s="281"/>
      <c r="P224" s="8"/>
      <c r="Q224" s="132"/>
      <c r="R224" s="38"/>
      <c r="S224" s="8"/>
      <c r="T224" s="8"/>
      <c r="U224" s="8"/>
      <c r="V224" s="8"/>
      <c r="W224" s="8"/>
      <c r="X224" s="8"/>
      <c r="Y224" s="8"/>
      <c r="Z224" s="8"/>
      <c r="AA224" s="8"/>
    </row>
    <row r="225" spans="1:27" ht="141.75">
      <c r="A225" s="8" t="s">
        <v>18</v>
      </c>
      <c r="B225" s="29" t="s">
        <v>195</v>
      </c>
      <c r="C225" s="8" t="s">
        <v>663</v>
      </c>
      <c r="D225" s="8" t="s">
        <v>672</v>
      </c>
      <c r="E225" s="8" t="s">
        <v>673</v>
      </c>
      <c r="F225" s="8" t="s">
        <v>3708</v>
      </c>
      <c r="G225" s="8" t="s">
        <v>62</v>
      </c>
      <c r="H225" s="8" t="s">
        <v>537</v>
      </c>
      <c r="I225" s="8" t="s">
        <v>538</v>
      </c>
      <c r="J225" s="8" t="s">
        <v>1090</v>
      </c>
      <c r="K225" s="8" t="s">
        <v>3824</v>
      </c>
      <c r="L225" s="283"/>
      <c r="M225" s="8"/>
      <c r="N225" s="8"/>
      <c r="O225" s="281"/>
      <c r="P225" s="8"/>
      <c r="Q225" s="132"/>
      <c r="R225" s="38"/>
      <c r="S225" s="8"/>
      <c r="T225" s="8"/>
      <c r="U225" s="8"/>
      <c r="V225" s="8"/>
      <c r="W225" s="8"/>
      <c r="X225" s="8"/>
      <c r="Y225" s="8"/>
      <c r="Z225" s="8"/>
      <c r="AA225" s="8"/>
    </row>
    <row r="226" spans="1:27" ht="157.5">
      <c r="A226" s="8" t="s">
        <v>18</v>
      </c>
      <c r="B226" s="29" t="s">
        <v>195</v>
      </c>
      <c r="C226" s="8" t="s">
        <v>674</v>
      </c>
      <c r="D226" s="8" t="s">
        <v>675</v>
      </c>
      <c r="E226" s="8" t="s">
        <v>676</v>
      </c>
      <c r="F226" s="8" t="s">
        <v>3710</v>
      </c>
      <c r="G226" s="8" t="s">
        <v>62</v>
      </c>
      <c r="H226" s="8" t="s">
        <v>677</v>
      </c>
      <c r="I226" s="9">
        <v>1</v>
      </c>
      <c r="J226" s="8" t="s">
        <v>1090</v>
      </c>
      <c r="K226" s="8" t="s">
        <v>3825</v>
      </c>
      <c r="L226" s="283"/>
      <c r="M226" s="8"/>
      <c r="N226" s="8"/>
      <c r="O226" s="281"/>
      <c r="P226" s="8"/>
      <c r="Q226" s="132"/>
      <c r="R226" s="38"/>
      <c r="S226" s="8"/>
      <c r="T226" s="8"/>
      <c r="U226" s="8"/>
      <c r="V226" s="8"/>
      <c r="W226" s="8"/>
      <c r="X226" s="8"/>
      <c r="Y226" s="8"/>
      <c r="Z226" s="8"/>
      <c r="AA226" s="8"/>
    </row>
    <row r="227" spans="1:27" ht="78.75">
      <c r="A227" s="8" t="s">
        <v>18</v>
      </c>
      <c r="B227" s="29" t="s">
        <v>195</v>
      </c>
      <c r="C227" s="8" t="s">
        <v>678</v>
      </c>
      <c r="D227" s="8" t="s">
        <v>679</v>
      </c>
      <c r="E227" s="570" t="s">
        <v>253</v>
      </c>
      <c r="F227" s="20"/>
      <c r="G227" s="20" t="s">
        <v>62</v>
      </c>
      <c r="H227" s="20"/>
      <c r="I227" s="22"/>
      <c r="J227" s="20"/>
      <c r="K227" s="20"/>
      <c r="L227" s="278"/>
      <c r="M227" s="20"/>
      <c r="N227" s="20"/>
      <c r="O227" s="279"/>
      <c r="P227" s="20"/>
      <c r="Q227" s="132"/>
      <c r="R227" s="39"/>
      <c r="S227" s="20"/>
      <c r="T227" s="20"/>
      <c r="U227" s="20"/>
      <c r="V227" s="20"/>
      <c r="W227" s="20"/>
      <c r="X227" s="20"/>
      <c r="Y227" s="20"/>
      <c r="Z227" s="20"/>
      <c r="AA227" s="20"/>
    </row>
    <row r="228" spans="1:27" ht="82.5" customHeight="1">
      <c r="A228" s="8" t="s">
        <v>18</v>
      </c>
      <c r="B228" s="29" t="s">
        <v>195</v>
      </c>
      <c r="C228" s="8" t="s">
        <v>678</v>
      </c>
      <c r="D228" s="8" t="s">
        <v>680</v>
      </c>
      <c r="E228" s="69" t="s">
        <v>681</v>
      </c>
      <c r="F228" s="8" t="s">
        <v>3710</v>
      </c>
      <c r="G228" s="8" t="s">
        <v>62</v>
      </c>
      <c r="H228" s="8" t="s">
        <v>254</v>
      </c>
      <c r="I228" s="9">
        <v>1</v>
      </c>
      <c r="J228" s="8" t="s">
        <v>1090</v>
      </c>
      <c r="K228" s="8" t="s">
        <v>3826</v>
      </c>
      <c r="L228" s="283"/>
      <c r="M228" s="8"/>
      <c r="N228" s="8"/>
      <c r="O228" s="281"/>
      <c r="P228" s="8"/>
      <c r="Q228" s="132"/>
      <c r="R228" s="38"/>
      <c r="S228" s="8"/>
      <c r="T228" s="8"/>
      <c r="U228" s="8"/>
      <c r="V228" s="8"/>
      <c r="W228" s="8"/>
      <c r="X228" s="8"/>
      <c r="Y228" s="8"/>
      <c r="Z228" s="8"/>
      <c r="AA228" s="8"/>
    </row>
    <row r="229" spans="1:27" ht="94.5">
      <c r="A229" s="8" t="s">
        <v>18</v>
      </c>
      <c r="B229" s="29" t="s">
        <v>195</v>
      </c>
      <c r="C229" s="8" t="s">
        <v>678</v>
      </c>
      <c r="D229" s="8" t="s">
        <v>682</v>
      </c>
      <c r="E229" s="69" t="s">
        <v>548</v>
      </c>
      <c r="F229" s="8" t="s">
        <v>3710</v>
      </c>
      <c r="G229" s="8" t="s">
        <v>62</v>
      </c>
      <c r="H229" s="8" t="s">
        <v>549</v>
      </c>
      <c r="I229" s="9">
        <v>1</v>
      </c>
      <c r="J229" s="8" t="s">
        <v>1090</v>
      </c>
      <c r="K229" s="8" t="s">
        <v>3827</v>
      </c>
      <c r="L229" s="283"/>
      <c r="M229" s="8"/>
      <c r="N229" s="8"/>
      <c r="O229" s="281"/>
      <c r="P229" s="8"/>
      <c r="Q229" s="132"/>
      <c r="R229" s="38"/>
      <c r="S229" s="8"/>
      <c r="T229" s="8"/>
      <c r="U229" s="8"/>
      <c r="V229" s="8"/>
      <c r="W229" s="8"/>
      <c r="X229" s="8"/>
      <c r="Y229" s="8"/>
      <c r="Z229" s="8"/>
      <c r="AA229" s="8"/>
    </row>
    <row r="230" spans="1:27" ht="110.25">
      <c r="A230" s="8" t="s">
        <v>18</v>
      </c>
      <c r="B230" s="29" t="s">
        <v>195</v>
      </c>
      <c r="C230" s="8" t="s">
        <v>678</v>
      </c>
      <c r="D230" s="8" t="s">
        <v>683</v>
      </c>
      <c r="E230" s="69" t="s">
        <v>684</v>
      </c>
      <c r="F230" s="8" t="s">
        <v>3710</v>
      </c>
      <c r="G230" s="8" t="s">
        <v>62</v>
      </c>
      <c r="H230" s="8" t="s">
        <v>685</v>
      </c>
      <c r="I230" s="9">
        <v>1</v>
      </c>
      <c r="J230" s="8" t="s">
        <v>1090</v>
      </c>
      <c r="K230" s="8" t="s">
        <v>3827</v>
      </c>
      <c r="L230" s="283"/>
      <c r="M230" s="8"/>
      <c r="N230" s="8"/>
      <c r="O230" s="281"/>
      <c r="P230" s="8"/>
      <c r="Q230" s="132"/>
      <c r="R230" s="38"/>
      <c r="S230" s="8"/>
      <c r="T230" s="8"/>
      <c r="U230" s="8"/>
      <c r="V230" s="8"/>
      <c r="W230" s="8"/>
      <c r="X230" s="8"/>
      <c r="Y230" s="8"/>
      <c r="Z230" s="8"/>
      <c r="AA230" s="8"/>
    </row>
    <row r="231" spans="1:27" ht="126">
      <c r="A231" s="8" t="s">
        <v>18</v>
      </c>
      <c r="B231" s="29" t="s">
        <v>195</v>
      </c>
      <c r="C231" s="8" t="s">
        <v>686</v>
      </c>
      <c r="D231" s="8" t="s">
        <v>687</v>
      </c>
      <c r="E231" s="8" t="s">
        <v>688</v>
      </c>
      <c r="F231" s="8" t="s">
        <v>3710</v>
      </c>
      <c r="G231" s="8" t="s">
        <v>62</v>
      </c>
      <c r="H231" s="8" t="s">
        <v>259</v>
      </c>
      <c r="I231" s="8" t="s">
        <v>210</v>
      </c>
      <c r="J231" s="8" t="s">
        <v>1090</v>
      </c>
      <c r="K231" s="8" t="s">
        <v>3828</v>
      </c>
      <c r="L231" s="283"/>
      <c r="M231" s="8"/>
      <c r="N231" s="8"/>
      <c r="O231" s="281"/>
      <c r="P231" s="8"/>
      <c r="Q231" s="132"/>
      <c r="R231" s="38"/>
      <c r="S231" s="8"/>
      <c r="T231" s="8"/>
      <c r="U231" s="8"/>
      <c r="V231" s="8"/>
      <c r="W231" s="8"/>
      <c r="X231" s="8"/>
      <c r="Y231" s="8"/>
      <c r="Z231" s="8"/>
      <c r="AA231" s="8"/>
    </row>
    <row r="232" spans="1:27" ht="141.75">
      <c r="A232" s="8" t="s">
        <v>18</v>
      </c>
      <c r="B232" s="29" t="s">
        <v>274</v>
      </c>
      <c r="C232" s="8" t="s">
        <v>689</v>
      </c>
      <c r="D232" s="8" t="s">
        <v>690</v>
      </c>
      <c r="E232" s="8" t="s">
        <v>691</v>
      </c>
      <c r="F232" s="8" t="s">
        <v>3708</v>
      </c>
      <c r="G232" s="8" t="s">
        <v>62</v>
      </c>
      <c r="H232" s="8" t="s">
        <v>692</v>
      </c>
      <c r="I232" s="9">
        <v>1</v>
      </c>
      <c r="J232" s="8" t="s">
        <v>1090</v>
      </c>
      <c r="K232" s="8" t="s">
        <v>3829</v>
      </c>
      <c r="L232" s="283"/>
      <c r="M232" s="8"/>
      <c r="N232" s="8"/>
      <c r="O232" s="281"/>
      <c r="P232" s="8"/>
      <c r="Q232" s="132"/>
      <c r="R232" s="38"/>
      <c r="S232" s="8"/>
      <c r="T232" s="8"/>
      <c r="U232" s="8"/>
      <c r="V232" s="8"/>
      <c r="W232" s="8"/>
      <c r="X232" s="8"/>
      <c r="Y232" s="8"/>
      <c r="Z232" s="8"/>
      <c r="AA232" s="8"/>
    </row>
    <row r="233" spans="1:27" ht="94.5">
      <c r="A233" s="8" t="s">
        <v>18</v>
      </c>
      <c r="B233" s="29" t="s">
        <v>274</v>
      </c>
      <c r="C233" s="8" t="s">
        <v>693</v>
      </c>
      <c r="D233" s="8" t="s">
        <v>694</v>
      </c>
      <c r="E233" s="8" t="s">
        <v>695</v>
      </c>
      <c r="F233" s="8" t="s">
        <v>3710</v>
      </c>
      <c r="G233" s="8" t="s">
        <v>62</v>
      </c>
      <c r="H233" s="8" t="s">
        <v>696</v>
      </c>
      <c r="I233" s="8" t="s">
        <v>697</v>
      </c>
      <c r="J233" s="8" t="s">
        <v>1090</v>
      </c>
      <c r="K233" s="8" t="s">
        <v>3830</v>
      </c>
      <c r="L233" s="283"/>
      <c r="M233" s="8"/>
      <c r="N233" s="8"/>
      <c r="O233" s="281"/>
      <c r="P233" s="8"/>
      <c r="Q233" s="132"/>
      <c r="R233" s="38"/>
      <c r="S233" s="8"/>
      <c r="T233" s="8"/>
      <c r="U233" s="8"/>
      <c r="V233" s="8"/>
      <c r="W233" s="8"/>
      <c r="X233" s="8"/>
      <c r="Y233" s="8"/>
      <c r="Z233" s="8"/>
      <c r="AA233" s="8"/>
    </row>
    <row r="234" spans="1:27" ht="94.5">
      <c r="A234" s="8" t="s">
        <v>18</v>
      </c>
      <c r="B234" s="29" t="s">
        <v>274</v>
      </c>
      <c r="C234" s="8" t="s">
        <v>693</v>
      </c>
      <c r="D234" s="8" t="s">
        <v>698</v>
      </c>
      <c r="E234" s="8" t="s">
        <v>699</v>
      </c>
      <c r="F234" s="8" t="s">
        <v>3710</v>
      </c>
      <c r="G234" s="8" t="s">
        <v>62</v>
      </c>
      <c r="H234" s="8" t="s">
        <v>700</v>
      </c>
      <c r="I234" s="8" t="s">
        <v>701</v>
      </c>
      <c r="J234" s="8" t="s">
        <v>1090</v>
      </c>
      <c r="K234" s="8" t="s">
        <v>3831</v>
      </c>
      <c r="L234" s="283"/>
      <c r="M234" s="8"/>
      <c r="N234" s="8"/>
      <c r="O234" s="281"/>
      <c r="P234" s="8"/>
      <c r="Q234" s="132"/>
      <c r="R234" s="38"/>
      <c r="S234" s="8"/>
      <c r="T234" s="8"/>
      <c r="U234" s="8"/>
      <c r="V234" s="8"/>
      <c r="W234" s="8"/>
      <c r="X234" s="8"/>
      <c r="Y234" s="8"/>
      <c r="Z234" s="8"/>
      <c r="AA234" s="8"/>
    </row>
    <row r="235" spans="1:27" ht="141.75">
      <c r="A235" s="8" t="s">
        <v>18</v>
      </c>
      <c r="B235" s="29" t="s">
        <v>274</v>
      </c>
      <c r="C235" s="8" t="s">
        <v>693</v>
      </c>
      <c r="D235" s="8" t="s">
        <v>702</v>
      </c>
      <c r="E235" s="8" t="s">
        <v>579</v>
      </c>
      <c r="F235" s="8" t="s">
        <v>3708</v>
      </c>
      <c r="G235" s="8" t="s">
        <v>62</v>
      </c>
      <c r="H235" s="8" t="s">
        <v>703</v>
      </c>
      <c r="I235" s="8" t="s">
        <v>701</v>
      </c>
      <c r="J235" s="8" t="s">
        <v>1191</v>
      </c>
      <c r="K235" s="8" t="s">
        <v>3832</v>
      </c>
      <c r="L235" s="283"/>
      <c r="M235" s="8" t="s">
        <v>11</v>
      </c>
      <c r="N235" s="8"/>
      <c r="O235" s="281"/>
      <c r="P235" s="8"/>
      <c r="Q235" s="132"/>
      <c r="R235" s="38"/>
      <c r="S235" s="8"/>
      <c r="T235" s="8"/>
      <c r="U235" s="8"/>
      <c r="V235" s="8"/>
      <c r="W235" s="8"/>
      <c r="X235" s="8"/>
      <c r="Y235" s="8"/>
      <c r="Z235" s="8"/>
      <c r="AA235" s="8"/>
    </row>
    <row r="236" spans="1:27" ht="47.25" hidden="1">
      <c r="A236" s="20" t="s">
        <v>18</v>
      </c>
      <c r="B236" s="30" t="s">
        <v>274</v>
      </c>
      <c r="C236" s="19" t="s">
        <v>704</v>
      </c>
      <c r="D236" s="19" t="s">
        <v>582</v>
      </c>
      <c r="E236" s="19" t="s">
        <v>582</v>
      </c>
      <c r="F236" s="19" t="s">
        <v>582</v>
      </c>
      <c r="G236" s="19" t="s">
        <v>582</v>
      </c>
      <c r="H236" s="19" t="s">
        <v>582</v>
      </c>
      <c r="I236" s="19" t="s">
        <v>582</v>
      </c>
      <c r="J236" s="19" t="s">
        <v>582</v>
      </c>
      <c r="K236" s="19" t="s">
        <v>582</v>
      </c>
      <c r="L236" s="19" t="s">
        <v>582</v>
      </c>
      <c r="M236" s="19" t="s">
        <v>582</v>
      </c>
      <c r="N236" s="19" t="s">
        <v>582</v>
      </c>
      <c r="O236" s="19" t="s">
        <v>582</v>
      </c>
      <c r="P236" s="19" t="s">
        <v>582</v>
      </c>
      <c r="Q236" s="48"/>
      <c r="R236" s="44" t="s">
        <v>582</v>
      </c>
      <c r="S236" s="19" t="s">
        <v>582</v>
      </c>
      <c r="T236" s="19" t="s">
        <v>582</v>
      </c>
      <c r="U236" s="19"/>
      <c r="V236" s="19" t="s">
        <v>582</v>
      </c>
      <c r="W236" s="19" t="s">
        <v>582</v>
      </c>
      <c r="X236" s="19" t="s">
        <v>582</v>
      </c>
      <c r="Y236" s="19" t="s">
        <v>582</v>
      </c>
      <c r="Z236" s="19" t="s">
        <v>582</v>
      </c>
      <c r="AA236" s="19" t="s">
        <v>582</v>
      </c>
    </row>
    <row r="237" spans="1:27" ht="236.25">
      <c r="A237" s="8" t="s">
        <v>18</v>
      </c>
      <c r="B237" s="29" t="s">
        <v>274</v>
      </c>
      <c r="C237" s="8" t="s">
        <v>705</v>
      </c>
      <c r="D237" s="8" t="s">
        <v>706</v>
      </c>
      <c r="E237" s="8" t="s">
        <v>707</v>
      </c>
      <c r="F237" s="8" t="s">
        <v>3708</v>
      </c>
      <c r="G237" s="8" t="s">
        <v>62</v>
      </c>
      <c r="H237" s="8" t="s">
        <v>708</v>
      </c>
      <c r="I237" s="9">
        <v>1</v>
      </c>
      <c r="J237" s="8" t="s">
        <v>1090</v>
      </c>
      <c r="K237" s="8" t="s">
        <v>3833</v>
      </c>
      <c r="L237" s="283"/>
      <c r="M237" s="8"/>
      <c r="N237" s="8"/>
      <c r="O237" s="281"/>
      <c r="P237" s="8"/>
      <c r="Q237" s="132"/>
      <c r="R237" s="38"/>
      <c r="S237" s="8"/>
      <c r="T237" s="8"/>
      <c r="U237" s="8"/>
      <c r="V237" s="8"/>
      <c r="W237" s="8"/>
      <c r="X237" s="8"/>
      <c r="Y237" s="8"/>
      <c r="Z237" s="8"/>
      <c r="AA237" s="8"/>
    </row>
    <row r="238" spans="1:27" ht="141.75">
      <c r="A238" s="8" t="s">
        <v>18</v>
      </c>
      <c r="B238" s="29" t="s">
        <v>274</v>
      </c>
      <c r="C238" s="8" t="s">
        <v>705</v>
      </c>
      <c r="D238" s="8" t="s">
        <v>709</v>
      </c>
      <c r="E238" s="8" t="s">
        <v>710</v>
      </c>
      <c r="F238" s="8" t="s">
        <v>3708</v>
      </c>
      <c r="G238" s="8" t="s">
        <v>62</v>
      </c>
      <c r="H238" s="8" t="s">
        <v>711</v>
      </c>
      <c r="I238" s="9">
        <v>1</v>
      </c>
      <c r="J238" s="8" t="s">
        <v>1090</v>
      </c>
      <c r="K238" s="8" t="s">
        <v>3834</v>
      </c>
      <c r="L238" s="283"/>
      <c r="M238" s="8"/>
      <c r="N238" s="8"/>
      <c r="O238" s="281"/>
      <c r="P238" s="8"/>
      <c r="Q238" s="132"/>
      <c r="R238" s="38"/>
      <c r="S238" s="8"/>
      <c r="T238" s="8"/>
      <c r="U238" s="8"/>
      <c r="V238" s="8"/>
      <c r="W238" s="8"/>
      <c r="X238" s="8"/>
      <c r="Y238" s="8"/>
      <c r="Z238" s="8"/>
      <c r="AA238" s="8"/>
    </row>
    <row r="239" spans="1:27" ht="126">
      <c r="A239" s="8" t="s">
        <v>18</v>
      </c>
      <c r="B239" s="29" t="s">
        <v>274</v>
      </c>
      <c r="C239" s="8" t="s">
        <v>705</v>
      </c>
      <c r="D239" s="8" t="s">
        <v>712</v>
      </c>
      <c r="E239" s="8" t="s">
        <v>713</v>
      </c>
      <c r="F239" s="8" t="s">
        <v>3710</v>
      </c>
      <c r="G239" s="8" t="s">
        <v>62</v>
      </c>
      <c r="H239" s="8" t="s">
        <v>714</v>
      </c>
      <c r="I239" s="9">
        <v>1</v>
      </c>
      <c r="J239" s="8" t="s">
        <v>1090</v>
      </c>
      <c r="K239" s="8" t="s">
        <v>3834</v>
      </c>
      <c r="L239" s="283"/>
      <c r="M239" s="8"/>
      <c r="N239" s="8"/>
      <c r="O239" s="281"/>
      <c r="P239" s="8"/>
      <c r="Q239" s="132"/>
      <c r="R239" s="38"/>
      <c r="S239" s="8"/>
      <c r="T239" s="8"/>
      <c r="U239" s="8"/>
      <c r="V239" s="8"/>
      <c r="W239" s="8"/>
      <c r="X239" s="8"/>
      <c r="Y239" s="8"/>
      <c r="Z239" s="8"/>
      <c r="AA239" s="8"/>
    </row>
    <row r="240" spans="1:27" ht="94.5">
      <c r="A240" s="8" t="s">
        <v>18</v>
      </c>
      <c r="B240" s="29" t="s">
        <v>587</v>
      </c>
      <c r="C240" s="8" t="s">
        <v>715</v>
      </c>
      <c r="D240" s="8" t="s">
        <v>716</v>
      </c>
      <c r="E240" s="8" t="s">
        <v>717</v>
      </c>
      <c r="F240" s="8" t="s">
        <v>3710</v>
      </c>
      <c r="G240" s="8" t="s">
        <v>62</v>
      </c>
      <c r="H240" s="8" t="s">
        <v>591</v>
      </c>
      <c r="I240" s="9">
        <v>1</v>
      </c>
      <c r="J240" s="8" t="s">
        <v>1090</v>
      </c>
      <c r="K240" s="8" t="s">
        <v>3835</v>
      </c>
      <c r="L240" s="283"/>
      <c r="M240" s="8"/>
      <c r="N240" s="8"/>
      <c r="O240" s="281"/>
      <c r="P240" s="8"/>
      <c r="Q240" s="132"/>
      <c r="R240" s="38"/>
      <c r="S240" s="8"/>
      <c r="T240" s="8"/>
      <c r="U240" s="8"/>
      <c r="V240" s="8"/>
      <c r="W240" s="8"/>
      <c r="X240" s="8"/>
      <c r="Y240" s="8"/>
      <c r="Z240" s="8"/>
      <c r="AA240" s="8"/>
    </row>
    <row r="241" spans="1:27" ht="56.25">
      <c r="A241" s="8" t="s">
        <v>18</v>
      </c>
      <c r="B241" s="29" t="s">
        <v>587</v>
      </c>
      <c r="C241" s="8" t="s">
        <v>715</v>
      </c>
      <c r="D241" s="8" t="s">
        <v>718</v>
      </c>
      <c r="E241" s="8" t="s">
        <v>719</v>
      </c>
      <c r="F241" s="20"/>
      <c r="G241" s="20" t="s">
        <v>62</v>
      </c>
      <c r="H241" s="20" t="s">
        <v>352</v>
      </c>
      <c r="I241" s="22">
        <v>1</v>
      </c>
      <c r="J241" s="20"/>
      <c r="K241" s="20"/>
      <c r="L241" s="278"/>
      <c r="M241" s="20"/>
      <c r="N241" s="20"/>
      <c r="O241" s="279"/>
      <c r="P241" s="20"/>
      <c r="Q241" s="132"/>
      <c r="R241" s="39"/>
      <c r="S241" s="20"/>
      <c r="T241" s="20"/>
      <c r="U241" s="20"/>
      <c r="V241" s="20"/>
      <c r="W241" s="20"/>
      <c r="X241" s="20"/>
      <c r="Y241" s="20"/>
      <c r="Z241" s="20"/>
      <c r="AA241" s="20"/>
    </row>
    <row r="242" spans="1:27" ht="94.5">
      <c r="A242" s="8" t="s">
        <v>18</v>
      </c>
      <c r="B242" s="29" t="s">
        <v>587</v>
      </c>
      <c r="C242" s="8" t="s">
        <v>715</v>
      </c>
      <c r="D242" s="8" t="s">
        <v>720</v>
      </c>
      <c r="E242" s="69" t="s">
        <v>594</v>
      </c>
      <c r="F242" s="8" t="s">
        <v>3710</v>
      </c>
      <c r="G242" s="8" t="s">
        <v>62</v>
      </c>
      <c r="H242" s="8" t="s">
        <v>352</v>
      </c>
      <c r="I242" s="9">
        <v>1</v>
      </c>
      <c r="J242" s="8" t="s">
        <v>1090</v>
      </c>
      <c r="K242" s="8" t="s">
        <v>3836</v>
      </c>
      <c r="L242" s="283"/>
      <c r="M242" s="8"/>
      <c r="N242" s="8"/>
      <c r="O242" s="281"/>
      <c r="P242" s="8"/>
      <c r="Q242" s="132"/>
      <c r="R242" s="38"/>
      <c r="S242" s="8"/>
      <c r="T242" s="8"/>
      <c r="U242" s="8"/>
      <c r="V242" s="8"/>
      <c r="W242" s="8"/>
      <c r="X242" s="8"/>
      <c r="Y242" s="8"/>
      <c r="Z242" s="8"/>
      <c r="AA242" s="8"/>
    </row>
    <row r="243" spans="1:27" ht="110.25">
      <c r="A243" s="8" t="s">
        <v>18</v>
      </c>
      <c r="B243" s="29" t="s">
        <v>587</v>
      </c>
      <c r="C243" s="8" t="s">
        <v>715</v>
      </c>
      <c r="D243" s="8" t="s">
        <v>721</v>
      </c>
      <c r="E243" s="69" t="s">
        <v>722</v>
      </c>
      <c r="F243" s="8" t="s">
        <v>3710</v>
      </c>
      <c r="G243" s="8" t="s">
        <v>62</v>
      </c>
      <c r="H243" s="8" t="s">
        <v>352</v>
      </c>
      <c r="I243" s="9">
        <v>1</v>
      </c>
      <c r="J243" s="8" t="s">
        <v>1090</v>
      </c>
      <c r="K243" s="8" t="s">
        <v>3837</v>
      </c>
      <c r="L243" s="283"/>
      <c r="M243" s="8"/>
      <c r="N243" s="8"/>
      <c r="O243" s="281"/>
      <c r="P243" s="8"/>
      <c r="Q243" s="132"/>
      <c r="R243" s="38"/>
      <c r="S243" s="8"/>
      <c r="T243" s="8"/>
      <c r="U243" s="8"/>
      <c r="V243" s="8"/>
      <c r="W243" s="8"/>
      <c r="X243" s="8"/>
      <c r="Y243" s="8"/>
      <c r="Z243" s="8"/>
      <c r="AA243" s="8"/>
    </row>
    <row r="244" spans="1:27" ht="126">
      <c r="A244" s="8" t="s">
        <v>18</v>
      </c>
      <c r="B244" s="29" t="s">
        <v>587</v>
      </c>
      <c r="C244" s="8" t="s">
        <v>715</v>
      </c>
      <c r="D244" s="8" t="s">
        <v>723</v>
      </c>
      <c r="E244" s="69" t="s">
        <v>596</v>
      </c>
      <c r="F244" s="8" t="s">
        <v>3710</v>
      </c>
      <c r="G244" s="8" t="s">
        <v>62</v>
      </c>
      <c r="H244" s="8" t="s">
        <v>352</v>
      </c>
      <c r="I244" s="9">
        <v>1</v>
      </c>
      <c r="J244" s="8" t="s">
        <v>1090</v>
      </c>
      <c r="K244" s="8" t="s">
        <v>3838</v>
      </c>
      <c r="L244" s="283"/>
      <c r="M244" s="8"/>
      <c r="N244" s="8"/>
      <c r="O244" s="281"/>
      <c r="P244" s="8"/>
      <c r="Q244" s="132"/>
      <c r="R244" s="38"/>
      <c r="S244" s="8"/>
      <c r="T244" s="8"/>
      <c r="U244" s="8"/>
      <c r="V244" s="8"/>
      <c r="W244" s="8"/>
      <c r="X244" s="8"/>
      <c r="Y244" s="8"/>
      <c r="Z244" s="8"/>
      <c r="AA244" s="8"/>
    </row>
    <row r="245" spans="1:27" ht="94.5">
      <c r="A245" s="8" t="s">
        <v>18</v>
      </c>
      <c r="B245" s="29" t="s">
        <v>587</v>
      </c>
      <c r="C245" s="8" t="s">
        <v>715</v>
      </c>
      <c r="D245" s="8" t="s">
        <v>724</v>
      </c>
      <c r="E245" s="69" t="s">
        <v>597</v>
      </c>
      <c r="F245" s="8" t="s">
        <v>3710</v>
      </c>
      <c r="G245" s="8" t="s">
        <v>62</v>
      </c>
      <c r="H245" s="8" t="s">
        <v>352</v>
      </c>
      <c r="I245" s="9">
        <v>1</v>
      </c>
      <c r="J245" s="8" t="s">
        <v>1090</v>
      </c>
      <c r="K245" s="8" t="s">
        <v>3839</v>
      </c>
      <c r="L245" s="283"/>
      <c r="M245" s="8"/>
      <c r="N245" s="8"/>
      <c r="O245" s="281"/>
      <c r="P245" s="8"/>
      <c r="Q245" s="132"/>
      <c r="R245" s="38"/>
      <c r="S245" s="8"/>
      <c r="T245" s="8"/>
      <c r="U245" s="8"/>
      <c r="V245" s="8"/>
      <c r="W245" s="8"/>
      <c r="X245" s="8"/>
      <c r="Y245" s="8"/>
      <c r="Z245" s="8"/>
      <c r="AA245" s="8"/>
    </row>
    <row r="246" spans="1:27" ht="126">
      <c r="A246" s="8" t="s">
        <v>18</v>
      </c>
      <c r="B246" s="29" t="s">
        <v>587</v>
      </c>
      <c r="C246" s="8" t="s">
        <v>715</v>
      </c>
      <c r="D246" s="8" t="s">
        <v>725</v>
      </c>
      <c r="E246" s="69" t="s">
        <v>599</v>
      </c>
      <c r="F246" s="8" t="s">
        <v>3710</v>
      </c>
      <c r="G246" s="8" t="s">
        <v>62</v>
      </c>
      <c r="H246" s="8" t="s">
        <v>352</v>
      </c>
      <c r="I246" s="9">
        <v>1</v>
      </c>
      <c r="J246" s="8" t="s">
        <v>1090</v>
      </c>
      <c r="K246" s="69" t="s">
        <v>3840</v>
      </c>
      <c r="L246" s="283"/>
      <c r="M246" s="8"/>
      <c r="N246" s="8"/>
      <c r="O246" s="281"/>
      <c r="P246" s="8"/>
      <c r="Q246" s="132"/>
      <c r="R246" s="38"/>
      <c r="S246" s="8"/>
      <c r="T246" s="8"/>
      <c r="U246" s="8"/>
      <c r="V246" s="8"/>
      <c r="W246" s="8"/>
      <c r="X246" s="8"/>
      <c r="Y246" s="8"/>
      <c r="Z246" s="8"/>
      <c r="AA246" s="8"/>
    </row>
    <row r="247" spans="1:27" ht="94.5">
      <c r="A247" s="8" t="s">
        <v>18</v>
      </c>
      <c r="B247" s="29" t="s">
        <v>587</v>
      </c>
      <c r="C247" s="8" t="s">
        <v>715</v>
      </c>
      <c r="D247" s="8" t="s">
        <v>726</v>
      </c>
      <c r="E247" s="69" t="s">
        <v>727</v>
      </c>
      <c r="F247" s="8" t="s">
        <v>3710</v>
      </c>
      <c r="G247" s="8" t="s">
        <v>62</v>
      </c>
      <c r="H247" s="8" t="s">
        <v>352</v>
      </c>
      <c r="I247" s="9">
        <v>1</v>
      </c>
      <c r="J247" s="8" t="s">
        <v>1090</v>
      </c>
      <c r="K247" s="8" t="s">
        <v>3841</v>
      </c>
      <c r="L247" s="283" t="s">
        <v>3842</v>
      </c>
      <c r="M247" s="8"/>
      <c r="N247" s="8"/>
      <c r="O247" s="281"/>
      <c r="P247" s="8"/>
      <c r="Q247" s="132"/>
      <c r="R247" s="38"/>
      <c r="S247" s="8"/>
      <c r="T247" s="8"/>
      <c r="U247" s="8"/>
      <c r="V247" s="8"/>
      <c r="W247" s="8"/>
      <c r="X247" s="8"/>
      <c r="Y247" s="8"/>
      <c r="Z247" s="8"/>
      <c r="AA247" s="8"/>
    </row>
    <row r="248" spans="1:27" ht="94.5">
      <c r="A248" s="8" t="s">
        <v>18</v>
      </c>
      <c r="B248" s="29" t="s">
        <v>587</v>
      </c>
      <c r="C248" s="8" t="s">
        <v>715</v>
      </c>
      <c r="D248" s="8" t="s">
        <v>728</v>
      </c>
      <c r="E248" s="69" t="s">
        <v>729</v>
      </c>
      <c r="F248" s="8" t="s">
        <v>3710</v>
      </c>
      <c r="G248" s="8" t="s">
        <v>62</v>
      </c>
      <c r="H248" s="8" t="s">
        <v>352</v>
      </c>
      <c r="I248" s="9">
        <v>1</v>
      </c>
      <c r="J248" s="8" t="s">
        <v>1090</v>
      </c>
      <c r="K248" s="8" t="s">
        <v>3843</v>
      </c>
      <c r="L248" s="283"/>
      <c r="M248" s="8"/>
      <c r="N248" s="8"/>
      <c r="O248" s="281"/>
      <c r="P248" s="8"/>
      <c r="Q248" s="132"/>
      <c r="R248" s="38"/>
      <c r="S248" s="8"/>
      <c r="T248" s="8"/>
      <c r="U248" s="8"/>
      <c r="V248" s="8"/>
      <c r="W248" s="8"/>
      <c r="X248" s="8"/>
      <c r="Y248" s="8"/>
      <c r="Z248" s="8"/>
      <c r="AA248" s="8"/>
    </row>
    <row r="249" spans="1:27" ht="94.5">
      <c r="A249" s="8" t="s">
        <v>18</v>
      </c>
      <c r="B249" s="29" t="s">
        <v>587</v>
      </c>
      <c r="C249" s="8" t="s">
        <v>715</v>
      </c>
      <c r="D249" s="8" t="s">
        <v>730</v>
      </c>
      <c r="E249" s="69" t="s">
        <v>731</v>
      </c>
      <c r="F249" s="8" t="s">
        <v>3710</v>
      </c>
      <c r="G249" s="8" t="s">
        <v>62</v>
      </c>
      <c r="H249" s="8" t="s">
        <v>352</v>
      </c>
      <c r="I249" s="9">
        <v>1</v>
      </c>
      <c r="J249" s="8" t="s">
        <v>1090</v>
      </c>
      <c r="K249" s="8" t="s">
        <v>3844</v>
      </c>
      <c r="L249" s="283"/>
      <c r="M249" s="8"/>
      <c r="N249" s="8"/>
      <c r="O249" s="281"/>
      <c r="P249" s="8"/>
      <c r="Q249" s="132"/>
      <c r="R249" s="38"/>
      <c r="S249" s="8"/>
      <c r="T249" s="8"/>
      <c r="U249" s="8"/>
      <c r="V249" s="8"/>
      <c r="W249" s="8"/>
      <c r="X249" s="8"/>
      <c r="Y249" s="8"/>
      <c r="Z249" s="8"/>
      <c r="AA249" s="8"/>
    </row>
    <row r="250" spans="1:27" ht="63" hidden="1">
      <c r="A250" s="8" t="s">
        <v>18</v>
      </c>
      <c r="B250" s="29" t="s">
        <v>587</v>
      </c>
      <c r="C250" s="8" t="s">
        <v>732</v>
      </c>
      <c r="D250" s="8" t="s">
        <v>733</v>
      </c>
      <c r="E250" s="8" t="s">
        <v>734</v>
      </c>
      <c r="F250" s="8"/>
      <c r="G250" s="8" t="s">
        <v>71</v>
      </c>
      <c r="H250" s="8" t="s">
        <v>735</v>
      </c>
      <c r="I250" s="9">
        <v>1</v>
      </c>
      <c r="J250" s="8"/>
      <c r="K250" s="8"/>
      <c r="L250" s="283"/>
      <c r="M250" s="8"/>
      <c r="N250" s="8"/>
      <c r="O250" s="281"/>
      <c r="P250" s="8"/>
      <c r="Q250" s="132"/>
      <c r="R250" s="38"/>
      <c r="S250" s="8"/>
      <c r="T250" s="8"/>
      <c r="U250" s="8"/>
      <c r="V250" s="8"/>
      <c r="W250" s="8"/>
      <c r="X250" s="8"/>
      <c r="Y250" s="8"/>
      <c r="Z250" s="8"/>
      <c r="AA250" s="8"/>
    </row>
    <row r="251" spans="1:27" ht="141.75">
      <c r="A251" s="8" t="s">
        <v>18</v>
      </c>
      <c r="B251" s="29" t="s">
        <v>587</v>
      </c>
      <c r="C251" s="8" t="s">
        <v>732</v>
      </c>
      <c r="D251" s="8" t="s">
        <v>736</v>
      </c>
      <c r="E251" s="8" t="s">
        <v>734</v>
      </c>
      <c r="F251" s="8" t="s">
        <v>3708</v>
      </c>
      <c r="G251" s="8" t="s">
        <v>58</v>
      </c>
      <c r="H251" s="8" t="s">
        <v>428</v>
      </c>
      <c r="I251" s="9">
        <v>1</v>
      </c>
      <c r="J251" s="8" t="s">
        <v>1090</v>
      </c>
      <c r="K251" s="8" t="s">
        <v>3845</v>
      </c>
      <c r="L251" s="283"/>
      <c r="M251" s="8"/>
      <c r="N251" s="8"/>
      <c r="O251" s="281"/>
      <c r="P251" s="8"/>
      <c r="Q251" s="132"/>
      <c r="R251" s="38"/>
      <c r="S251" s="8"/>
      <c r="T251" s="8"/>
      <c r="U251" s="8"/>
      <c r="V251" s="8"/>
      <c r="W251" s="8"/>
      <c r="X251" s="8"/>
      <c r="Y251" s="8"/>
      <c r="Z251" s="8"/>
      <c r="AA251" s="8"/>
    </row>
    <row r="252" spans="1:27" ht="141.75">
      <c r="A252" s="8" t="s">
        <v>18</v>
      </c>
      <c r="B252" s="29" t="s">
        <v>587</v>
      </c>
      <c r="C252" s="8" t="s">
        <v>737</v>
      </c>
      <c r="D252" s="8" t="s">
        <v>738</v>
      </c>
      <c r="E252" s="8" t="s">
        <v>739</v>
      </c>
      <c r="F252" s="8" t="s">
        <v>3710</v>
      </c>
      <c r="G252" s="8" t="s">
        <v>62</v>
      </c>
      <c r="H252" s="8" t="s">
        <v>623</v>
      </c>
      <c r="I252" s="9">
        <v>1</v>
      </c>
      <c r="J252" s="8" t="s">
        <v>1090</v>
      </c>
      <c r="K252" s="8" t="s">
        <v>3846</v>
      </c>
      <c r="L252" s="283"/>
      <c r="M252" s="8"/>
      <c r="N252" s="8"/>
      <c r="O252" s="281"/>
      <c r="P252" s="8"/>
      <c r="Q252" s="132"/>
      <c r="R252" s="38"/>
      <c r="S252" s="8"/>
      <c r="T252" s="8"/>
      <c r="U252" s="8"/>
      <c r="V252" s="8"/>
      <c r="W252" s="8"/>
      <c r="X252" s="8"/>
      <c r="Y252" s="8"/>
      <c r="Z252" s="8"/>
      <c r="AA252" s="8"/>
    </row>
    <row r="253" spans="1:27" ht="94.5">
      <c r="A253" s="8" t="s">
        <v>18</v>
      </c>
      <c r="B253" s="29" t="s">
        <v>587</v>
      </c>
      <c r="C253" s="8" t="s">
        <v>737</v>
      </c>
      <c r="D253" s="8" t="s">
        <v>740</v>
      </c>
      <c r="E253" s="8" t="s">
        <v>741</v>
      </c>
      <c r="F253" s="8" t="s">
        <v>3710</v>
      </c>
      <c r="G253" s="8" t="s">
        <v>62</v>
      </c>
      <c r="H253" s="8" t="s">
        <v>742</v>
      </c>
      <c r="I253" s="9">
        <v>1</v>
      </c>
      <c r="J253" s="8" t="s">
        <v>1090</v>
      </c>
      <c r="K253" s="8" t="s">
        <v>3847</v>
      </c>
      <c r="L253" s="283"/>
      <c r="M253" s="8"/>
      <c r="N253" s="8"/>
      <c r="O253" s="281"/>
      <c r="P253" s="8"/>
      <c r="Q253" s="132"/>
      <c r="R253" s="38"/>
      <c r="S253" s="8"/>
      <c r="T253" s="8"/>
      <c r="U253" s="8"/>
      <c r="V253" s="8"/>
      <c r="W253" s="8"/>
      <c r="X253" s="8"/>
      <c r="Y253" s="8"/>
      <c r="Z253" s="8"/>
      <c r="AA253" s="8"/>
    </row>
    <row r="254" spans="1:27" ht="94.5">
      <c r="A254" s="8" t="s">
        <v>18</v>
      </c>
      <c r="B254" s="29" t="s">
        <v>587</v>
      </c>
      <c r="C254" s="8" t="s">
        <v>737</v>
      </c>
      <c r="D254" s="8" t="s">
        <v>743</v>
      </c>
      <c r="E254" s="8" t="s">
        <v>744</v>
      </c>
      <c r="F254" s="8" t="s">
        <v>3710</v>
      </c>
      <c r="G254" s="8" t="s">
        <v>62</v>
      </c>
      <c r="H254" s="8" t="s">
        <v>745</v>
      </c>
      <c r="I254" s="9">
        <v>0.5</v>
      </c>
      <c r="J254" s="8" t="s">
        <v>1090</v>
      </c>
      <c r="K254" s="8" t="s">
        <v>3848</v>
      </c>
      <c r="L254" s="283"/>
      <c r="M254" s="8"/>
      <c r="N254" s="8"/>
      <c r="O254" s="281"/>
      <c r="P254" s="8"/>
      <c r="Q254" s="132"/>
      <c r="R254" s="38"/>
      <c r="S254" s="8"/>
      <c r="T254" s="8"/>
      <c r="U254" s="8"/>
      <c r="V254" s="8"/>
      <c r="W254" s="8"/>
      <c r="X254" s="8"/>
      <c r="Y254" s="8"/>
      <c r="Z254" s="8"/>
      <c r="AA254" s="8"/>
    </row>
    <row r="255" spans="1:27" ht="141.75">
      <c r="A255" s="8" t="s">
        <v>18</v>
      </c>
      <c r="B255" s="29" t="s">
        <v>587</v>
      </c>
      <c r="C255" s="8" t="s">
        <v>746</v>
      </c>
      <c r="D255" s="8" t="s">
        <v>747</v>
      </c>
      <c r="E255" s="8" t="s">
        <v>748</v>
      </c>
      <c r="F255" s="8" t="s">
        <v>3710</v>
      </c>
      <c r="G255" s="8" t="s">
        <v>62</v>
      </c>
      <c r="H255" s="8" t="s">
        <v>749</v>
      </c>
      <c r="I255" s="9">
        <v>0.5</v>
      </c>
      <c r="J255" s="8" t="s">
        <v>1191</v>
      </c>
      <c r="K255" s="8" t="s">
        <v>3849</v>
      </c>
      <c r="L255" s="283"/>
      <c r="M255" s="8" t="s">
        <v>10</v>
      </c>
      <c r="N255" s="8"/>
      <c r="O255" s="281"/>
      <c r="P255" s="8"/>
      <c r="Q255" s="132"/>
      <c r="R255" s="38"/>
      <c r="S255" s="8"/>
      <c r="T255" s="8"/>
      <c r="U255" s="8"/>
      <c r="V255" s="8"/>
      <c r="W255" s="8"/>
      <c r="X255" s="8"/>
      <c r="Y255" s="8"/>
      <c r="Z255" s="8"/>
      <c r="AA255" s="8"/>
    </row>
    <row r="256" spans="1:27">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c r="A257" s="8" t="s">
        <v>20</v>
      </c>
      <c r="B257" s="31" t="s">
        <v>54</v>
      </c>
      <c r="C257" s="18" t="s">
        <v>751</v>
      </c>
      <c r="D257" s="18" t="s">
        <v>752</v>
      </c>
      <c r="E257" s="18" t="s">
        <v>753</v>
      </c>
      <c r="F257" s="20"/>
      <c r="G257" s="20" t="s">
        <v>62</v>
      </c>
      <c r="H257" s="20" t="s">
        <v>754</v>
      </c>
      <c r="I257" s="22" t="s">
        <v>485</v>
      </c>
      <c r="J257" s="20"/>
      <c r="K257" s="20"/>
      <c r="L257" s="278"/>
      <c r="M257" s="20"/>
      <c r="N257" s="20"/>
      <c r="O257" s="279"/>
      <c r="P257" s="20"/>
      <c r="Q257" s="132"/>
      <c r="R257" s="39"/>
      <c r="S257" s="20"/>
      <c r="T257" s="20"/>
      <c r="U257" s="20"/>
      <c r="V257" s="20"/>
      <c r="W257" s="20"/>
      <c r="X257" s="20"/>
      <c r="Y257" s="20"/>
      <c r="Z257" s="20"/>
      <c r="AA257" s="20"/>
    </row>
    <row r="258" spans="1:27" ht="94.5">
      <c r="A258" s="8" t="s">
        <v>20</v>
      </c>
      <c r="B258" s="31" t="s">
        <v>54</v>
      </c>
      <c r="C258" s="18" t="s">
        <v>751</v>
      </c>
      <c r="D258" s="18" t="s">
        <v>755</v>
      </c>
      <c r="E258" s="69" t="s">
        <v>756</v>
      </c>
      <c r="F258" s="8" t="s">
        <v>3710</v>
      </c>
      <c r="G258" s="18" t="s">
        <v>62</v>
      </c>
      <c r="H258" s="18" t="s">
        <v>754</v>
      </c>
      <c r="I258" s="18" t="s">
        <v>485</v>
      </c>
      <c r="J258" s="8" t="s">
        <v>8</v>
      </c>
      <c r="K258" s="8" t="s">
        <v>3850</v>
      </c>
      <c r="L258" s="283"/>
      <c r="M258" s="8"/>
      <c r="N258" s="8"/>
      <c r="O258" s="281"/>
      <c r="P258" s="8"/>
      <c r="Q258" s="132"/>
      <c r="R258" s="38"/>
      <c r="S258" s="8"/>
      <c r="T258" s="8"/>
      <c r="U258" s="8"/>
      <c r="V258" s="8"/>
      <c r="W258" s="8"/>
      <c r="X258" s="8"/>
      <c r="Y258" s="8"/>
      <c r="Z258" s="8"/>
      <c r="AA258" s="8"/>
    </row>
    <row r="259" spans="1:27" ht="78.75">
      <c r="A259" s="8" t="s">
        <v>20</v>
      </c>
      <c r="B259" s="31" t="s">
        <v>54</v>
      </c>
      <c r="C259" s="18" t="s">
        <v>751</v>
      </c>
      <c r="D259" s="18" t="s">
        <v>757</v>
      </c>
      <c r="E259" s="69" t="s">
        <v>758</v>
      </c>
      <c r="F259" s="8" t="s">
        <v>3775</v>
      </c>
      <c r="G259" s="18" t="s">
        <v>62</v>
      </c>
      <c r="H259" s="18" t="s">
        <v>754</v>
      </c>
      <c r="I259" s="18" t="s">
        <v>485</v>
      </c>
      <c r="J259" s="8" t="s">
        <v>1191</v>
      </c>
      <c r="K259" s="8" t="s">
        <v>3851</v>
      </c>
      <c r="L259" s="283"/>
      <c r="M259" s="8" t="s">
        <v>9</v>
      </c>
      <c r="N259" s="8"/>
      <c r="O259" s="281"/>
      <c r="P259" s="8"/>
      <c r="Q259" s="132"/>
      <c r="R259" s="38"/>
      <c r="S259" s="8"/>
      <c r="T259" s="8"/>
      <c r="U259" s="8"/>
      <c r="V259" s="8"/>
      <c r="W259" s="8"/>
      <c r="X259" s="8"/>
      <c r="Y259" s="8"/>
      <c r="Z259" s="8"/>
      <c r="AA259" s="8"/>
    </row>
    <row r="260" spans="1:27" ht="94.5">
      <c r="A260" s="8" t="s">
        <v>20</v>
      </c>
      <c r="B260" s="31" t="s">
        <v>54</v>
      </c>
      <c r="C260" s="18" t="s">
        <v>751</v>
      </c>
      <c r="D260" s="18" t="s">
        <v>759</v>
      </c>
      <c r="E260" s="69" t="s">
        <v>760</v>
      </c>
      <c r="F260" s="8" t="s">
        <v>3710</v>
      </c>
      <c r="G260" s="18" t="s">
        <v>62</v>
      </c>
      <c r="H260" s="18" t="s">
        <v>754</v>
      </c>
      <c r="I260" s="18" t="s">
        <v>485</v>
      </c>
      <c r="J260" s="8" t="s">
        <v>1191</v>
      </c>
      <c r="K260" s="8" t="s">
        <v>3852</v>
      </c>
      <c r="L260" s="283"/>
      <c r="M260" s="8" t="s">
        <v>9</v>
      </c>
      <c r="N260" s="8"/>
      <c r="O260" s="281"/>
      <c r="P260" s="8"/>
      <c r="Q260" s="132"/>
      <c r="R260" s="38"/>
      <c r="S260" s="8"/>
      <c r="T260" s="8"/>
      <c r="U260" s="8"/>
      <c r="V260" s="8"/>
      <c r="W260" s="8"/>
      <c r="X260" s="8"/>
      <c r="Y260" s="8"/>
      <c r="Z260" s="8"/>
      <c r="AA260" s="8"/>
    </row>
    <row r="261" spans="1:27" ht="141.75">
      <c r="A261" s="8" t="s">
        <v>20</v>
      </c>
      <c r="B261" s="31" t="s">
        <v>54</v>
      </c>
      <c r="C261" s="18" t="s">
        <v>751</v>
      </c>
      <c r="D261" s="18" t="s">
        <v>761</v>
      </c>
      <c r="E261" s="69" t="s">
        <v>762</v>
      </c>
      <c r="F261" s="8" t="s">
        <v>3708</v>
      </c>
      <c r="G261" s="18" t="s">
        <v>62</v>
      </c>
      <c r="H261" s="18" t="s">
        <v>754</v>
      </c>
      <c r="I261" s="18" t="s">
        <v>485</v>
      </c>
      <c r="J261" s="8" t="s">
        <v>1191</v>
      </c>
      <c r="K261" s="8" t="s">
        <v>3853</v>
      </c>
      <c r="L261" s="283"/>
      <c r="M261" s="8" t="s">
        <v>9</v>
      </c>
      <c r="N261" s="8"/>
      <c r="O261" s="281"/>
      <c r="P261" s="8"/>
      <c r="Q261" s="132"/>
      <c r="R261" s="38"/>
      <c r="S261" s="8"/>
      <c r="T261" s="8"/>
      <c r="U261" s="8"/>
      <c r="V261" s="8"/>
      <c r="W261" s="8"/>
      <c r="X261" s="8"/>
      <c r="Y261" s="8"/>
      <c r="Z261" s="8"/>
      <c r="AA261" s="8"/>
    </row>
    <row r="262" spans="1:27" ht="94.5">
      <c r="A262" s="8" t="s">
        <v>20</v>
      </c>
      <c r="B262" s="31" t="s">
        <v>54</v>
      </c>
      <c r="C262" s="18" t="s">
        <v>751</v>
      </c>
      <c r="D262" s="18" t="s">
        <v>763</v>
      </c>
      <c r="E262" s="69" t="s">
        <v>764</v>
      </c>
      <c r="F262" s="8" t="s">
        <v>3710</v>
      </c>
      <c r="G262" s="18" t="s">
        <v>62</v>
      </c>
      <c r="H262" s="18" t="s">
        <v>754</v>
      </c>
      <c r="I262" s="18" t="s">
        <v>485</v>
      </c>
      <c r="J262" s="8" t="s">
        <v>1191</v>
      </c>
      <c r="K262" s="8" t="s">
        <v>3854</v>
      </c>
      <c r="L262" s="283"/>
      <c r="M262" s="8" t="s">
        <v>9</v>
      </c>
      <c r="N262" s="8"/>
      <c r="O262" s="281"/>
      <c r="P262" s="8"/>
      <c r="Q262" s="132"/>
      <c r="R262" s="38"/>
      <c r="S262" s="8"/>
      <c r="T262" s="8"/>
      <c r="U262" s="8"/>
      <c r="V262" s="8"/>
      <c r="W262" s="8"/>
      <c r="X262" s="8"/>
      <c r="Y262" s="8"/>
      <c r="Z262" s="8"/>
      <c r="AA262" s="8"/>
    </row>
    <row r="263" spans="1:27" ht="141.75">
      <c r="A263" s="8" t="s">
        <v>20</v>
      </c>
      <c r="B263" s="31" t="s">
        <v>54</v>
      </c>
      <c r="C263" s="18" t="s">
        <v>751</v>
      </c>
      <c r="D263" s="18" t="s">
        <v>765</v>
      </c>
      <c r="E263" s="69" t="s">
        <v>766</v>
      </c>
      <c r="F263" s="8" t="s">
        <v>3708</v>
      </c>
      <c r="G263" s="18" t="s">
        <v>62</v>
      </c>
      <c r="H263" s="18" t="s">
        <v>754</v>
      </c>
      <c r="I263" s="18" t="s">
        <v>485</v>
      </c>
      <c r="J263" s="8" t="s">
        <v>1191</v>
      </c>
      <c r="K263" s="8" t="s">
        <v>3854</v>
      </c>
      <c r="L263" s="283"/>
      <c r="M263" s="8" t="s">
        <v>9</v>
      </c>
      <c r="N263" s="8"/>
      <c r="O263" s="281"/>
      <c r="P263" s="8"/>
      <c r="Q263" s="132"/>
      <c r="R263" s="38"/>
      <c r="S263" s="8"/>
      <c r="T263" s="8"/>
      <c r="U263" s="8"/>
      <c r="V263" s="8"/>
      <c r="W263" s="8"/>
      <c r="X263" s="8"/>
      <c r="Y263" s="8"/>
      <c r="Z263" s="8"/>
      <c r="AA263" s="8"/>
    </row>
    <row r="264" spans="1:27" ht="141.75">
      <c r="A264" s="8" t="s">
        <v>20</v>
      </c>
      <c r="B264" s="31" t="s">
        <v>54</v>
      </c>
      <c r="C264" s="18" t="s">
        <v>751</v>
      </c>
      <c r="D264" s="18" t="s">
        <v>767</v>
      </c>
      <c r="E264" s="69" t="s">
        <v>768</v>
      </c>
      <c r="F264" s="8" t="s">
        <v>3708</v>
      </c>
      <c r="G264" s="18" t="s">
        <v>62</v>
      </c>
      <c r="H264" s="18" t="s">
        <v>754</v>
      </c>
      <c r="I264" s="18" t="s">
        <v>485</v>
      </c>
      <c r="J264" s="8" t="s">
        <v>1191</v>
      </c>
      <c r="K264" s="8" t="s">
        <v>3855</v>
      </c>
      <c r="L264" s="283"/>
      <c r="M264" s="8" t="s">
        <v>9</v>
      </c>
      <c r="N264" s="8"/>
      <c r="O264" s="281"/>
      <c r="P264" s="8"/>
      <c r="Q264" s="132"/>
      <c r="R264" s="38"/>
      <c r="S264" s="8"/>
      <c r="T264" s="8"/>
      <c r="U264" s="8"/>
      <c r="V264" s="8"/>
      <c r="W264" s="8"/>
      <c r="X264" s="8"/>
      <c r="Y264" s="8"/>
      <c r="Z264" s="8"/>
      <c r="AA264" s="8"/>
    </row>
    <row r="265" spans="1:27" ht="267.75">
      <c r="A265" s="8" t="s">
        <v>20</v>
      </c>
      <c r="B265" s="31" t="s">
        <v>54</v>
      </c>
      <c r="C265" s="18" t="s">
        <v>751</v>
      </c>
      <c r="D265" s="18" t="s">
        <v>769</v>
      </c>
      <c r="E265" s="69" t="s">
        <v>770</v>
      </c>
      <c r="F265" s="8" t="s">
        <v>3708</v>
      </c>
      <c r="G265" s="18" t="s">
        <v>62</v>
      </c>
      <c r="H265" s="18" t="s">
        <v>754</v>
      </c>
      <c r="I265" s="18" t="s">
        <v>485</v>
      </c>
      <c r="J265" s="8" t="s">
        <v>1191</v>
      </c>
      <c r="K265" s="8" t="s">
        <v>3856</v>
      </c>
      <c r="L265" s="283"/>
      <c r="M265" s="8" t="s">
        <v>10</v>
      </c>
      <c r="N265" s="8"/>
      <c r="O265" s="281"/>
      <c r="P265" s="8"/>
      <c r="Q265" s="132"/>
      <c r="R265" s="38"/>
      <c r="S265" s="8"/>
      <c r="T265" s="8"/>
      <c r="U265" s="8"/>
      <c r="V265" s="8"/>
      <c r="W265" s="8"/>
      <c r="X265" s="8"/>
      <c r="Y265" s="8"/>
      <c r="Z265" s="8"/>
      <c r="AA265" s="8"/>
    </row>
    <row r="266" spans="1:27" ht="141.75">
      <c r="A266" s="8" t="s">
        <v>20</v>
      </c>
      <c r="B266" s="31" t="s">
        <v>54</v>
      </c>
      <c r="C266" s="18" t="s">
        <v>751</v>
      </c>
      <c r="D266" s="18" t="s">
        <v>771</v>
      </c>
      <c r="E266" s="18" t="s">
        <v>772</v>
      </c>
      <c r="F266" s="8" t="s">
        <v>3708</v>
      </c>
      <c r="G266" s="18" t="s">
        <v>62</v>
      </c>
      <c r="H266" s="18" t="s">
        <v>773</v>
      </c>
      <c r="I266" s="18" t="s">
        <v>139</v>
      </c>
      <c r="J266" s="8" t="s">
        <v>1191</v>
      </c>
      <c r="K266" s="8" t="s">
        <v>3857</v>
      </c>
      <c r="L266" s="283"/>
      <c r="M266" s="8" t="s">
        <v>9</v>
      </c>
      <c r="N266" s="8"/>
      <c r="O266" s="281"/>
      <c r="P266" s="8"/>
      <c r="Q266" s="132"/>
      <c r="R266" s="38"/>
      <c r="S266" s="8"/>
      <c r="T266" s="8"/>
      <c r="U266" s="8"/>
      <c r="V266" s="8"/>
      <c r="W266" s="8"/>
      <c r="X266" s="8"/>
      <c r="Y266" s="8"/>
      <c r="Z266" s="8"/>
      <c r="AA266" s="8"/>
    </row>
    <row r="267" spans="1:27" ht="173.25">
      <c r="A267" s="8" t="s">
        <v>20</v>
      </c>
      <c r="B267" s="31" t="s">
        <v>54</v>
      </c>
      <c r="C267" s="8" t="s">
        <v>774</v>
      </c>
      <c r="D267" s="8" t="s">
        <v>775</v>
      </c>
      <c r="E267" s="8" t="s">
        <v>776</v>
      </c>
      <c r="F267" s="8" t="s">
        <v>3708</v>
      </c>
      <c r="G267" s="8" t="s">
        <v>62</v>
      </c>
      <c r="H267" s="8" t="s">
        <v>777</v>
      </c>
      <c r="I267" s="8" t="s">
        <v>494</v>
      </c>
      <c r="J267" s="8" t="s">
        <v>1191</v>
      </c>
      <c r="K267" s="8" t="s">
        <v>3858</v>
      </c>
      <c r="L267" s="283"/>
      <c r="M267" s="8" t="s">
        <v>9</v>
      </c>
      <c r="N267" s="8"/>
      <c r="O267" s="281"/>
      <c r="P267" s="8"/>
      <c r="Q267" s="132"/>
      <c r="R267" s="38"/>
      <c r="S267" s="8"/>
      <c r="T267" s="8"/>
      <c r="U267" s="8"/>
      <c r="V267" s="8"/>
      <c r="W267" s="8"/>
      <c r="X267" s="8"/>
      <c r="Y267" s="8"/>
      <c r="Z267" s="8"/>
      <c r="AA267" s="8"/>
    </row>
    <row r="268" spans="1:27" ht="141.75">
      <c r="A268" s="8" t="s">
        <v>20</v>
      </c>
      <c r="B268" s="31" t="s">
        <v>54</v>
      </c>
      <c r="C268" s="8" t="s">
        <v>774</v>
      </c>
      <c r="D268" s="8" t="s">
        <v>778</v>
      </c>
      <c r="E268" s="8" t="s">
        <v>779</v>
      </c>
      <c r="F268" s="8" t="s">
        <v>3708</v>
      </c>
      <c r="G268" s="8" t="s">
        <v>62</v>
      </c>
      <c r="H268" s="8" t="s">
        <v>780</v>
      </c>
      <c r="I268" s="8">
        <v>5</v>
      </c>
      <c r="J268" s="8" t="s">
        <v>1191</v>
      </c>
      <c r="K268" s="8" t="s">
        <v>3859</v>
      </c>
      <c r="L268" s="283"/>
      <c r="M268" s="8" t="s">
        <v>9</v>
      </c>
      <c r="N268" s="8"/>
      <c r="O268" s="281"/>
      <c r="P268" s="8"/>
      <c r="Q268" s="132"/>
      <c r="R268" s="38"/>
      <c r="S268" s="8"/>
      <c r="T268" s="8"/>
      <c r="U268" s="8"/>
      <c r="V268" s="8"/>
      <c r="W268" s="8"/>
      <c r="X268" s="8"/>
      <c r="Y268" s="8"/>
      <c r="Z268" s="8"/>
      <c r="AA268" s="8"/>
    </row>
    <row r="269" spans="1:27" ht="94.5">
      <c r="A269" s="8" t="s">
        <v>20</v>
      </c>
      <c r="B269" s="31" t="s">
        <v>54</v>
      </c>
      <c r="C269" s="8" t="s">
        <v>774</v>
      </c>
      <c r="D269" s="8" t="s">
        <v>781</v>
      </c>
      <c r="E269" s="8" t="s">
        <v>782</v>
      </c>
      <c r="F269" s="8" t="s">
        <v>3710</v>
      </c>
      <c r="G269" s="8" t="s">
        <v>62</v>
      </c>
      <c r="H269" s="8" t="s">
        <v>783</v>
      </c>
      <c r="I269" s="9">
        <v>0.5</v>
      </c>
      <c r="J269" s="8" t="s">
        <v>8</v>
      </c>
      <c r="K269" s="8"/>
      <c r="L269" s="283"/>
      <c r="M269" s="8"/>
      <c r="N269" s="8"/>
      <c r="O269" s="281"/>
      <c r="P269" s="8"/>
      <c r="Q269" s="132"/>
      <c r="R269" s="38"/>
      <c r="S269" s="8"/>
      <c r="T269" s="8"/>
      <c r="U269" s="8"/>
      <c r="V269" s="8"/>
      <c r="W269" s="8"/>
      <c r="X269" s="8"/>
      <c r="Y269" s="8"/>
      <c r="Z269" s="8"/>
      <c r="AA269" s="8"/>
    </row>
    <row r="270" spans="1:27" ht="94.5">
      <c r="A270" s="8" t="s">
        <v>20</v>
      </c>
      <c r="B270" s="31" t="s">
        <v>54</v>
      </c>
      <c r="C270" s="8" t="s">
        <v>774</v>
      </c>
      <c r="D270" s="8" t="s">
        <v>784</v>
      </c>
      <c r="E270" s="8" t="s">
        <v>785</v>
      </c>
      <c r="F270" s="8"/>
      <c r="G270" s="8" t="s">
        <v>62</v>
      </c>
      <c r="H270" s="8" t="s">
        <v>786</v>
      </c>
      <c r="I270" s="8" t="s">
        <v>214</v>
      </c>
      <c r="J270" s="8" t="s">
        <v>8</v>
      </c>
      <c r="K270" s="8" t="s">
        <v>3860</v>
      </c>
      <c r="L270" s="283"/>
      <c r="M270" s="8"/>
      <c r="N270" s="8"/>
      <c r="O270" s="281"/>
      <c r="P270" s="8"/>
      <c r="Q270" s="132"/>
      <c r="R270" s="38"/>
      <c r="S270" s="8"/>
      <c r="T270" s="8"/>
      <c r="U270" s="8"/>
      <c r="V270" s="8"/>
      <c r="W270" s="8"/>
      <c r="X270" s="8"/>
      <c r="Y270" s="8"/>
      <c r="Z270" s="8"/>
      <c r="AA270" s="8"/>
    </row>
    <row r="271" spans="1:27" ht="94.5">
      <c r="A271" s="8" t="s">
        <v>20</v>
      </c>
      <c r="B271" s="31" t="s">
        <v>54</v>
      </c>
      <c r="C271" s="8" t="s">
        <v>774</v>
      </c>
      <c r="D271" s="8" t="s">
        <v>787</v>
      </c>
      <c r="E271" s="8" t="s">
        <v>788</v>
      </c>
      <c r="F271" s="8" t="s">
        <v>3710</v>
      </c>
      <c r="G271" s="8" t="s">
        <v>62</v>
      </c>
      <c r="H271" s="8" t="s">
        <v>789</v>
      </c>
      <c r="I271" s="9">
        <v>1</v>
      </c>
      <c r="J271" s="8" t="s">
        <v>1090</v>
      </c>
      <c r="K271" s="8" t="s">
        <v>3861</v>
      </c>
      <c r="L271" s="283"/>
      <c r="M271" s="8"/>
      <c r="N271" s="8"/>
      <c r="O271" s="281"/>
      <c r="P271" s="8"/>
      <c r="Q271" s="132"/>
      <c r="R271" s="38"/>
      <c r="S271" s="8"/>
      <c r="T271" s="8"/>
      <c r="U271" s="8"/>
      <c r="V271" s="8"/>
      <c r="W271" s="8"/>
      <c r="X271" s="8"/>
      <c r="Y271" s="8"/>
      <c r="Z271" s="8"/>
      <c r="AA271" s="8"/>
    </row>
    <row r="272" spans="1:27" ht="94.5">
      <c r="A272" s="8" t="s">
        <v>20</v>
      </c>
      <c r="B272" s="31" t="s">
        <v>54</v>
      </c>
      <c r="C272" s="8" t="s">
        <v>774</v>
      </c>
      <c r="D272" s="8" t="s">
        <v>790</v>
      </c>
      <c r="E272" s="8" t="s">
        <v>791</v>
      </c>
      <c r="F272" s="8" t="s">
        <v>3710</v>
      </c>
      <c r="G272" s="8" t="s">
        <v>62</v>
      </c>
      <c r="H272" s="8" t="s">
        <v>789</v>
      </c>
      <c r="I272" s="9">
        <v>1</v>
      </c>
      <c r="J272" s="8" t="s">
        <v>1090</v>
      </c>
      <c r="K272" s="8" t="s">
        <v>3862</v>
      </c>
      <c r="L272" s="283"/>
      <c r="M272" s="8"/>
      <c r="N272" s="8"/>
      <c r="O272" s="281"/>
      <c r="P272" s="8"/>
      <c r="Q272" s="132"/>
      <c r="R272" s="38"/>
      <c r="S272" s="8"/>
      <c r="T272" s="8"/>
      <c r="U272" s="8"/>
      <c r="V272" s="8"/>
      <c r="W272" s="8"/>
      <c r="X272" s="8"/>
      <c r="Y272" s="8"/>
      <c r="Z272" s="8"/>
      <c r="AA272" s="8"/>
    </row>
    <row r="273" spans="1:27" ht="31.5" hidden="1">
      <c r="A273" s="20" t="s">
        <v>20</v>
      </c>
      <c r="B273" s="32" t="s">
        <v>54</v>
      </c>
      <c r="C273" s="19" t="s">
        <v>792</v>
      </c>
      <c r="D273" s="19" t="s">
        <v>582</v>
      </c>
      <c r="E273" s="19" t="s">
        <v>582</v>
      </c>
      <c r="F273" s="19" t="s">
        <v>582</v>
      </c>
      <c r="G273" s="19" t="s">
        <v>582</v>
      </c>
      <c r="H273" s="19" t="s">
        <v>582</v>
      </c>
      <c r="I273" s="19" t="s">
        <v>582</v>
      </c>
      <c r="J273" s="19" t="s">
        <v>582</v>
      </c>
      <c r="K273" s="19" t="s">
        <v>582</v>
      </c>
      <c r="L273" s="19" t="s">
        <v>582</v>
      </c>
      <c r="M273" s="19" t="s">
        <v>582</v>
      </c>
      <c r="N273" s="19" t="s">
        <v>582</v>
      </c>
      <c r="O273" s="19" t="s">
        <v>582</v>
      </c>
      <c r="P273" s="19" t="s">
        <v>582</v>
      </c>
      <c r="Q273" s="48"/>
      <c r="R273" s="44" t="s">
        <v>582</v>
      </c>
      <c r="S273" s="19" t="s">
        <v>582</v>
      </c>
      <c r="T273" s="19" t="s">
        <v>582</v>
      </c>
      <c r="U273" s="19"/>
      <c r="V273" s="19" t="s">
        <v>582</v>
      </c>
      <c r="W273" s="19" t="s">
        <v>582</v>
      </c>
      <c r="X273" s="19" t="s">
        <v>582</v>
      </c>
      <c r="Y273" s="19" t="s">
        <v>582</v>
      </c>
      <c r="Z273" s="19" t="s">
        <v>582</v>
      </c>
      <c r="AA273" s="19" t="s">
        <v>582</v>
      </c>
    </row>
    <row r="274" spans="1:27" ht="157.5">
      <c r="A274" s="8" t="s">
        <v>20</v>
      </c>
      <c r="B274" s="29" t="s">
        <v>195</v>
      </c>
      <c r="C274" s="8" t="s">
        <v>793</v>
      </c>
      <c r="D274" s="8" t="s">
        <v>794</v>
      </c>
      <c r="E274" s="8" t="s">
        <v>795</v>
      </c>
      <c r="F274" s="8" t="s">
        <v>3708</v>
      </c>
      <c r="G274" s="8" t="s">
        <v>62</v>
      </c>
      <c r="H274" s="8" t="s">
        <v>796</v>
      </c>
      <c r="I274" s="9">
        <v>1</v>
      </c>
      <c r="J274" s="8" t="s">
        <v>1191</v>
      </c>
      <c r="K274" s="8" t="s">
        <v>3863</v>
      </c>
      <c r="L274" s="283"/>
      <c r="M274" s="8" t="s">
        <v>9</v>
      </c>
      <c r="N274" s="8"/>
      <c r="O274" s="281"/>
      <c r="P274" s="8"/>
      <c r="Q274" s="132"/>
      <c r="R274" s="38"/>
      <c r="S274" s="8"/>
      <c r="T274" s="8"/>
      <c r="U274" s="8"/>
      <c r="V274" s="8"/>
      <c r="W274" s="8"/>
      <c r="X274" s="8"/>
      <c r="Y274" s="8"/>
      <c r="Z274" s="8"/>
      <c r="AA274" s="8"/>
    </row>
    <row r="275" spans="1:27" ht="110.25">
      <c r="A275" s="8" t="s">
        <v>20</v>
      </c>
      <c r="B275" s="29" t="s">
        <v>195</v>
      </c>
      <c r="C275" s="8" t="s">
        <v>793</v>
      </c>
      <c r="D275" s="8" t="s">
        <v>797</v>
      </c>
      <c r="E275" s="8" t="s">
        <v>798</v>
      </c>
      <c r="F275" s="20"/>
      <c r="G275" s="20" t="s">
        <v>62</v>
      </c>
      <c r="H275" s="20"/>
      <c r="I275" s="22"/>
      <c r="J275" s="20"/>
      <c r="K275" s="20"/>
      <c r="L275" s="278"/>
      <c r="M275" s="20"/>
      <c r="N275" s="20"/>
      <c r="O275" s="279"/>
      <c r="P275" s="20"/>
      <c r="Q275" s="132"/>
      <c r="R275" s="39"/>
      <c r="S275" s="20"/>
      <c r="T275" s="20"/>
      <c r="U275" s="20"/>
      <c r="V275" s="20"/>
      <c r="W275" s="20"/>
      <c r="X275" s="20"/>
      <c r="Y275" s="20"/>
      <c r="Z275" s="20"/>
      <c r="AA275" s="20"/>
    </row>
    <row r="276" spans="1:27" ht="97.15" customHeight="1">
      <c r="A276" s="8" t="s">
        <v>20</v>
      </c>
      <c r="B276" s="29" t="s">
        <v>195</v>
      </c>
      <c r="C276" s="8" t="s">
        <v>793</v>
      </c>
      <c r="D276" s="8" t="s">
        <v>799</v>
      </c>
      <c r="E276" s="69" t="s">
        <v>800</v>
      </c>
      <c r="F276" s="8" t="s">
        <v>3708</v>
      </c>
      <c r="G276" s="8" t="s">
        <v>62</v>
      </c>
      <c r="H276" s="8" t="s">
        <v>801</v>
      </c>
      <c r="I276" s="9">
        <v>1</v>
      </c>
      <c r="J276" s="8" t="s">
        <v>1090</v>
      </c>
      <c r="K276" s="8" t="s">
        <v>3864</v>
      </c>
      <c r="L276" s="283"/>
      <c r="M276" s="8"/>
      <c r="N276" s="8"/>
      <c r="O276" s="281"/>
      <c r="P276" s="8"/>
      <c r="Q276" s="132"/>
      <c r="R276" s="38"/>
      <c r="S276" s="8"/>
      <c r="T276" s="8"/>
      <c r="U276" s="8"/>
      <c r="V276" s="8"/>
      <c r="W276" s="8"/>
      <c r="X276" s="8"/>
      <c r="Y276" s="8"/>
      <c r="Z276" s="8"/>
      <c r="AA276" s="8"/>
    </row>
    <row r="277" spans="1:27" ht="94.5">
      <c r="A277" s="8" t="s">
        <v>20</v>
      </c>
      <c r="B277" s="29" t="s">
        <v>195</v>
      </c>
      <c r="C277" s="8" t="s">
        <v>793</v>
      </c>
      <c r="D277" s="8" t="s">
        <v>802</v>
      </c>
      <c r="E277" s="69" t="s">
        <v>803</v>
      </c>
      <c r="F277" s="8" t="s">
        <v>3710</v>
      </c>
      <c r="G277" s="8" t="s">
        <v>62</v>
      </c>
      <c r="H277" s="8" t="s">
        <v>804</v>
      </c>
      <c r="I277" s="9">
        <v>1</v>
      </c>
      <c r="J277" s="8" t="s">
        <v>1191</v>
      </c>
      <c r="K277" s="8" t="s">
        <v>3865</v>
      </c>
      <c r="L277" s="283"/>
      <c r="M277" s="8" t="s">
        <v>11</v>
      </c>
      <c r="N277" s="8"/>
      <c r="O277" s="281"/>
      <c r="P277" s="8"/>
      <c r="Q277" s="132"/>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283"/>
      <c r="M278" s="8"/>
      <c r="N278" s="8"/>
      <c r="O278" s="281"/>
      <c r="P278" s="8"/>
      <c r="Q278" s="132"/>
      <c r="R278" s="38"/>
      <c r="S278" s="8"/>
      <c r="T278" s="8"/>
      <c r="U278" s="8"/>
      <c r="V278" s="8"/>
      <c r="W278" s="8"/>
      <c r="X278" s="8"/>
      <c r="Y278" s="8"/>
      <c r="Z278" s="8"/>
      <c r="AA278" s="8"/>
    </row>
    <row r="279" spans="1:27" ht="189">
      <c r="A279" s="8" t="s">
        <v>20</v>
      </c>
      <c r="B279" s="29" t="s">
        <v>195</v>
      </c>
      <c r="C279" s="8" t="s">
        <v>808</v>
      </c>
      <c r="D279" s="8" t="s">
        <v>809</v>
      </c>
      <c r="E279" s="8" t="s">
        <v>810</v>
      </c>
      <c r="F279" s="8" t="s">
        <v>3708</v>
      </c>
      <c r="G279" s="8" t="s">
        <v>62</v>
      </c>
      <c r="H279" s="8" t="s">
        <v>811</v>
      </c>
      <c r="I279" s="9">
        <v>1</v>
      </c>
      <c r="J279" s="8" t="s">
        <v>1090</v>
      </c>
      <c r="K279" s="8" t="s">
        <v>3866</v>
      </c>
      <c r="L279" s="283"/>
      <c r="M279" s="8"/>
      <c r="N279" s="8"/>
      <c r="O279" s="281"/>
      <c r="P279" s="8"/>
      <c r="Q279" s="132"/>
      <c r="R279" s="38"/>
      <c r="S279" s="8"/>
      <c r="T279" s="8"/>
      <c r="U279" s="8"/>
      <c r="V279" s="8"/>
      <c r="W279" s="8"/>
      <c r="X279" s="8"/>
      <c r="Y279" s="8"/>
      <c r="Z279" s="8"/>
      <c r="AA279" s="8"/>
    </row>
    <row r="280" spans="1:27" ht="94.5">
      <c r="A280" s="8" t="s">
        <v>20</v>
      </c>
      <c r="B280" s="29" t="s">
        <v>195</v>
      </c>
      <c r="C280" s="8" t="s">
        <v>808</v>
      </c>
      <c r="D280" s="8" t="s">
        <v>812</v>
      </c>
      <c r="E280" s="8" t="s">
        <v>813</v>
      </c>
      <c r="F280" s="8" t="s">
        <v>3710</v>
      </c>
      <c r="G280" s="8" t="s">
        <v>62</v>
      </c>
      <c r="H280" s="8" t="s">
        <v>814</v>
      </c>
      <c r="I280" s="8" t="s">
        <v>210</v>
      </c>
      <c r="J280" s="8" t="s">
        <v>1090</v>
      </c>
      <c r="K280" s="8" t="s">
        <v>3867</v>
      </c>
      <c r="L280" s="283"/>
      <c r="M280" s="8"/>
      <c r="N280" s="8"/>
      <c r="O280" s="281"/>
      <c r="P280" s="8"/>
      <c r="Q280" s="132"/>
      <c r="R280" s="38"/>
      <c r="S280" s="8"/>
      <c r="T280" s="8"/>
      <c r="U280" s="8"/>
      <c r="V280" s="8"/>
      <c r="W280" s="8"/>
      <c r="X280" s="8"/>
      <c r="Y280" s="8"/>
      <c r="Z280" s="8"/>
      <c r="AA280" s="8"/>
    </row>
    <row r="281" spans="1:27" ht="94.5">
      <c r="A281" s="8" t="s">
        <v>20</v>
      </c>
      <c r="B281" s="29" t="s">
        <v>195</v>
      </c>
      <c r="C281" s="8" t="s">
        <v>815</v>
      </c>
      <c r="D281" s="8" t="s">
        <v>816</v>
      </c>
      <c r="E281" s="8" t="s">
        <v>253</v>
      </c>
      <c r="F281" s="8" t="s">
        <v>3710</v>
      </c>
      <c r="G281" s="8" t="s">
        <v>62</v>
      </c>
      <c r="H281" s="8" t="s">
        <v>254</v>
      </c>
      <c r="I281" s="9">
        <v>1</v>
      </c>
      <c r="J281" s="8" t="s">
        <v>1090</v>
      </c>
      <c r="K281" s="8" t="s">
        <v>3868</v>
      </c>
      <c r="L281" s="283"/>
      <c r="M281" s="8"/>
      <c r="N281" s="8"/>
      <c r="O281" s="281"/>
      <c r="P281" s="8"/>
      <c r="Q281" s="132"/>
      <c r="R281" s="38"/>
      <c r="S281" s="8"/>
      <c r="T281" s="8"/>
      <c r="U281" s="8"/>
      <c r="V281" s="8"/>
      <c r="W281" s="8"/>
      <c r="X281" s="8"/>
      <c r="Y281" s="8"/>
      <c r="Z281" s="8"/>
      <c r="AA281" s="8"/>
    </row>
    <row r="282" spans="1:27" ht="204.75">
      <c r="A282" s="8" t="s">
        <v>20</v>
      </c>
      <c r="B282" s="29" t="s">
        <v>195</v>
      </c>
      <c r="C282" s="8" t="s">
        <v>815</v>
      </c>
      <c r="D282" s="8" t="s">
        <v>817</v>
      </c>
      <c r="E282" s="8" t="s">
        <v>818</v>
      </c>
      <c r="F282" s="20"/>
      <c r="G282" s="20" t="s">
        <v>62</v>
      </c>
      <c r="H282" s="20"/>
      <c r="I282" s="22"/>
      <c r="J282" s="20"/>
      <c r="K282" s="20"/>
      <c r="L282" s="278"/>
      <c r="M282" s="20"/>
      <c r="N282" s="20"/>
      <c r="O282" s="279"/>
      <c r="P282" s="20"/>
      <c r="Q282" s="132"/>
      <c r="R282" s="39"/>
      <c r="S282" s="20"/>
      <c r="T282" s="20"/>
      <c r="U282" s="20"/>
      <c r="V282" s="20"/>
      <c r="W282" s="20"/>
      <c r="X282" s="20"/>
      <c r="Y282" s="20"/>
      <c r="Z282" s="20"/>
      <c r="AA282" s="20"/>
    </row>
    <row r="283" spans="1:27" ht="94.5">
      <c r="A283" s="8" t="s">
        <v>20</v>
      </c>
      <c r="B283" s="29" t="s">
        <v>195</v>
      </c>
      <c r="C283" s="8" t="s">
        <v>815</v>
      </c>
      <c r="D283" s="8" t="s">
        <v>819</v>
      </c>
      <c r="E283" s="69" t="s">
        <v>820</v>
      </c>
      <c r="F283" s="8" t="s">
        <v>3710</v>
      </c>
      <c r="G283" s="8" t="s">
        <v>62</v>
      </c>
      <c r="H283" s="8" t="s">
        <v>821</v>
      </c>
      <c r="I283" s="9">
        <v>1</v>
      </c>
      <c r="J283" s="8" t="s">
        <v>1090</v>
      </c>
      <c r="K283" s="8" t="s">
        <v>3869</v>
      </c>
      <c r="L283" s="283"/>
      <c r="M283" s="8"/>
      <c r="N283" s="8"/>
      <c r="O283" s="281"/>
      <c r="P283" s="8"/>
      <c r="Q283" s="132"/>
      <c r="R283" s="38"/>
      <c r="S283" s="8"/>
      <c r="T283" s="8"/>
      <c r="U283" s="8"/>
      <c r="V283" s="8"/>
      <c r="W283" s="8"/>
      <c r="X283" s="8"/>
      <c r="Y283" s="8"/>
      <c r="Z283" s="8"/>
      <c r="AA283" s="8"/>
    </row>
    <row r="284" spans="1:27" ht="141.75">
      <c r="A284" s="8" t="s">
        <v>20</v>
      </c>
      <c r="B284" s="29" t="s">
        <v>195</v>
      </c>
      <c r="C284" s="8" t="s">
        <v>815</v>
      </c>
      <c r="D284" s="8" t="s">
        <v>822</v>
      </c>
      <c r="E284" s="69" t="s">
        <v>823</v>
      </c>
      <c r="F284" s="8" t="s">
        <v>3708</v>
      </c>
      <c r="G284" s="8" t="s">
        <v>62</v>
      </c>
      <c r="H284" s="8" t="s">
        <v>824</v>
      </c>
      <c r="I284" s="9">
        <v>1</v>
      </c>
      <c r="J284" s="8" t="s">
        <v>1090</v>
      </c>
      <c r="K284" s="8" t="s">
        <v>3870</v>
      </c>
      <c r="L284" s="283"/>
      <c r="M284" s="8"/>
      <c r="N284" s="8"/>
      <c r="O284" s="281"/>
      <c r="P284" s="8"/>
      <c r="Q284" s="132"/>
      <c r="R284" s="38"/>
      <c r="S284" s="8"/>
      <c r="T284" s="8"/>
      <c r="U284" s="8"/>
      <c r="V284" s="8"/>
      <c r="W284" s="8"/>
      <c r="X284" s="8"/>
      <c r="Y284" s="8"/>
      <c r="Z284" s="8"/>
      <c r="AA284" s="8"/>
    </row>
    <row r="285" spans="1:27" ht="252">
      <c r="A285" s="8" t="s">
        <v>20</v>
      </c>
      <c r="B285" s="29" t="s">
        <v>195</v>
      </c>
      <c r="C285" s="8" t="s">
        <v>815</v>
      </c>
      <c r="D285" s="8" t="s">
        <v>825</v>
      </c>
      <c r="E285" s="8" t="s">
        <v>826</v>
      </c>
      <c r="F285" s="8" t="s">
        <v>3708</v>
      </c>
      <c r="G285" s="8" t="s">
        <v>62</v>
      </c>
      <c r="H285" s="8" t="s">
        <v>827</v>
      </c>
      <c r="I285" s="9">
        <v>1</v>
      </c>
      <c r="J285" s="8" t="s">
        <v>1090</v>
      </c>
      <c r="K285" s="8" t="s">
        <v>3871</v>
      </c>
      <c r="L285" s="283"/>
      <c r="M285" s="8"/>
      <c r="N285" s="8"/>
      <c r="O285" s="281"/>
      <c r="P285" s="8"/>
      <c r="Q285" s="132"/>
      <c r="R285" s="38"/>
      <c r="S285" s="8"/>
      <c r="T285" s="8"/>
      <c r="U285" s="8"/>
      <c r="V285" s="8"/>
      <c r="W285" s="8"/>
      <c r="X285" s="8"/>
      <c r="Y285" s="8"/>
      <c r="Z285" s="8"/>
      <c r="AA285" s="8"/>
    </row>
    <row r="286" spans="1:27" ht="141.75">
      <c r="A286" s="8" t="s">
        <v>20</v>
      </c>
      <c r="B286" s="29" t="s">
        <v>195</v>
      </c>
      <c r="C286" s="8" t="s">
        <v>815</v>
      </c>
      <c r="D286" s="8" t="s">
        <v>828</v>
      </c>
      <c r="E286" s="8" t="s">
        <v>829</v>
      </c>
      <c r="F286" s="8" t="s">
        <v>3708</v>
      </c>
      <c r="G286" s="8" t="s">
        <v>62</v>
      </c>
      <c r="H286" s="8" t="s">
        <v>830</v>
      </c>
      <c r="I286" s="8" t="s">
        <v>831</v>
      </c>
      <c r="J286" s="8" t="s">
        <v>1090</v>
      </c>
      <c r="K286" s="8" t="s">
        <v>3872</v>
      </c>
      <c r="L286" s="283"/>
      <c r="M286" s="8"/>
      <c r="N286" s="8"/>
      <c r="O286" s="281"/>
      <c r="P286" s="8"/>
      <c r="Q286" s="132"/>
      <c r="R286" s="38"/>
      <c r="S286" s="8"/>
      <c r="T286" s="8"/>
      <c r="U286" s="8"/>
      <c r="V286" s="8"/>
      <c r="W286" s="8"/>
      <c r="X286" s="8"/>
      <c r="Y286" s="8"/>
      <c r="Z286" s="8"/>
      <c r="AA286" s="8"/>
    </row>
    <row r="287" spans="1:27" ht="252">
      <c r="A287" s="8" t="s">
        <v>20</v>
      </c>
      <c r="B287" s="29" t="s">
        <v>195</v>
      </c>
      <c r="C287" s="8" t="s">
        <v>815</v>
      </c>
      <c r="D287" s="8" t="s">
        <v>832</v>
      </c>
      <c r="E287" s="8" t="s">
        <v>833</v>
      </c>
      <c r="F287" s="8" t="s">
        <v>3775</v>
      </c>
      <c r="G287" s="8" t="s">
        <v>62</v>
      </c>
      <c r="H287" s="8" t="s">
        <v>834</v>
      </c>
      <c r="I287" s="9">
        <v>0.8</v>
      </c>
      <c r="J287" s="8"/>
      <c r="K287" s="8" t="s">
        <v>3873</v>
      </c>
      <c r="L287" s="283"/>
      <c r="M287" s="8" t="s">
        <v>12</v>
      </c>
      <c r="N287" s="8"/>
      <c r="O287" s="281" t="s">
        <v>3874</v>
      </c>
      <c r="P287" s="8"/>
      <c r="Q287" s="132"/>
      <c r="R287" s="38"/>
      <c r="S287" s="8"/>
      <c r="T287" s="8"/>
      <c r="U287" s="8"/>
      <c r="V287" s="8"/>
      <c r="W287" s="8"/>
      <c r="X287" s="8"/>
      <c r="Y287" s="8"/>
      <c r="Z287" s="8"/>
      <c r="AA287" s="8"/>
    </row>
    <row r="288" spans="1:27" ht="378">
      <c r="A288" s="8" t="s">
        <v>20</v>
      </c>
      <c r="B288" s="29" t="s">
        <v>195</v>
      </c>
      <c r="C288" s="8" t="s">
        <v>835</v>
      </c>
      <c r="D288" s="8" t="s">
        <v>836</v>
      </c>
      <c r="E288" s="8" t="s">
        <v>837</v>
      </c>
      <c r="F288" s="8" t="s">
        <v>3710</v>
      </c>
      <c r="G288" s="8" t="s">
        <v>62</v>
      </c>
      <c r="H288" s="8" t="s">
        <v>783</v>
      </c>
      <c r="I288" s="9">
        <v>0.5</v>
      </c>
      <c r="J288" s="8" t="s">
        <v>1090</v>
      </c>
      <c r="K288" s="8" t="s">
        <v>3875</v>
      </c>
      <c r="L288" s="283"/>
      <c r="M288" s="8"/>
      <c r="N288" s="8"/>
      <c r="O288" s="281"/>
      <c r="P288" s="8"/>
      <c r="Q288" s="132"/>
      <c r="R288" s="38"/>
      <c r="S288" s="8"/>
      <c r="T288" s="8"/>
      <c r="U288" s="8"/>
      <c r="V288" s="8"/>
      <c r="W288" s="8"/>
      <c r="X288" s="8"/>
      <c r="Y288" s="8"/>
      <c r="Z288" s="8"/>
      <c r="AA288" s="8"/>
    </row>
    <row r="289" spans="1:51" ht="126">
      <c r="A289" s="8" t="s">
        <v>20</v>
      </c>
      <c r="B289" s="29" t="s">
        <v>195</v>
      </c>
      <c r="C289" s="8" t="s">
        <v>835</v>
      </c>
      <c r="D289" s="8" t="s">
        <v>838</v>
      </c>
      <c r="E289" s="8" t="s">
        <v>839</v>
      </c>
      <c r="F289" s="8" t="s">
        <v>3710</v>
      </c>
      <c r="G289" s="8" t="s">
        <v>62</v>
      </c>
      <c r="H289" s="8" t="s">
        <v>259</v>
      </c>
      <c r="I289" s="8" t="s">
        <v>210</v>
      </c>
      <c r="J289" s="8" t="s">
        <v>1090</v>
      </c>
      <c r="K289" s="8" t="s">
        <v>3876</v>
      </c>
      <c r="L289" s="283"/>
      <c r="M289" s="8"/>
      <c r="N289" s="8"/>
      <c r="O289" s="281"/>
      <c r="P289" s="8"/>
      <c r="Q289" s="132"/>
      <c r="R289" s="38"/>
      <c r="S289" s="8"/>
      <c r="T289" s="8"/>
      <c r="U289" s="8"/>
      <c r="V289" s="8"/>
      <c r="W289" s="8"/>
      <c r="X289" s="8"/>
      <c r="Y289" s="8"/>
      <c r="Z289" s="8"/>
      <c r="AA289" s="8"/>
    </row>
    <row r="290" spans="1:51" ht="94.5">
      <c r="A290" s="8" t="s">
        <v>20</v>
      </c>
      <c r="B290" s="29" t="s">
        <v>195</v>
      </c>
      <c r="C290" s="8" t="s">
        <v>835</v>
      </c>
      <c r="D290" s="8" t="s">
        <v>840</v>
      </c>
      <c r="E290" s="8" t="s">
        <v>841</v>
      </c>
      <c r="F290" s="8" t="s">
        <v>3710</v>
      </c>
      <c r="G290" s="8" t="s">
        <v>62</v>
      </c>
      <c r="H290" s="8" t="s">
        <v>842</v>
      </c>
      <c r="I290" s="8" t="s">
        <v>210</v>
      </c>
      <c r="J290" s="8" t="s">
        <v>1090</v>
      </c>
      <c r="K290" s="8" t="s">
        <v>3877</v>
      </c>
      <c r="L290" s="283"/>
      <c r="M290" s="8"/>
      <c r="N290" s="8"/>
      <c r="O290" s="281"/>
      <c r="P290" s="8"/>
      <c r="Q290" s="132"/>
      <c r="R290" s="38"/>
      <c r="S290" s="8"/>
      <c r="T290" s="8"/>
      <c r="U290" s="8"/>
      <c r="V290" s="8"/>
      <c r="W290" s="8"/>
      <c r="X290" s="8"/>
      <c r="Y290" s="8"/>
      <c r="Z290" s="8"/>
      <c r="AA290" s="8"/>
    </row>
    <row r="291" spans="1:51" ht="94.5">
      <c r="A291" s="8" t="s">
        <v>20</v>
      </c>
      <c r="B291" s="29" t="s">
        <v>195</v>
      </c>
      <c r="C291" s="8" t="s">
        <v>835</v>
      </c>
      <c r="D291" s="8" t="s">
        <v>843</v>
      </c>
      <c r="E291" s="8" t="s">
        <v>844</v>
      </c>
      <c r="F291" s="8" t="s">
        <v>3710</v>
      </c>
      <c r="G291" s="8" t="s">
        <v>62</v>
      </c>
      <c r="H291" s="8" t="s">
        <v>845</v>
      </c>
      <c r="I291" s="8" t="s">
        <v>846</v>
      </c>
      <c r="J291" s="8" t="s">
        <v>1090</v>
      </c>
      <c r="K291" s="8" t="s">
        <v>3878</v>
      </c>
      <c r="L291" s="283"/>
      <c r="M291" s="8"/>
      <c r="N291" s="8"/>
      <c r="O291" s="281"/>
      <c r="P291" s="8"/>
      <c r="Q291" s="132"/>
      <c r="R291" s="38"/>
      <c r="S291" s="8"/>
      <c r="T291" s="8"/>
      <c r="U291" s="8"/>
      <c r="V291" s="8"/>
      <c r="W291" s="8"/>
      <c r="X291" s="8"/>
      <c r="Y291" s="8"/>
      <c r="Z291" s="8"/>
      <c r="AA291" s="8"/>
    </row>
    <row r="292" spans="1:51" ht="94.5">
      <c r="A292" s="8" t="s">
        <v>20</v>
      </c>
      <c r="B292" s="29" t="s">
        <v>195</v>
      </c>
      <c r="C292" s="8" t="s">
        <v>835</v>
      </c>
      <c r="D292" s="8" t="s">
        <v>847</v>
      </c>
      <c r="E292" s="8" t="s">
        <v>848</v>
      </c>
      <c r="F292" s="8" t="s">
        <v>3710</v>
      </c>
      <c r="G292" s="8" t="s">
        <v>62</v>
      </c>
      <c r="H292" s="8" t="s">
        <v>849</v>
      </c>
      <c r="I292" s="8" t="s">
        <v>135</v>
      </c>
      <c r="J292" s="8" t="s">
        <v>1090</v>
      </c>
      <c r="K292" s="8" t="s">
        <v>3879</v>
      </c>
      <c r="L292" s="283"/>
      <c r="M292" s="8"/>
      <c r="N292" s="8"/>
      <c r="O292" s="281"/>
      <c r="P292" s="8"/>
      <c r="Q292" s="132"/>
      <c r="R292" s="38"/>
      <c r="S292" s="8"/>
      <c r="T292" s="8"/>
      <c r="U292" s="8"/>
      <c r="V292" s="8"/>
      <c r="W292" s="8"/>
      <c r="X292" s="8"/>
      <c r="Y292" s="8"/>
      <c r="Z292" s="8"/>
      <c r="AA292" s="8"/>
    </row>
    <row r="293" spans="1:51" ht="141.75">
      <c r="A293" s="8" t="s">
        <v>20</v>
      </c>
      <c r="B293" s="29" t="s">
        <v>274</v>
      </c>
      <c r="C293" s="8" t="s">
        <v>850</v>
      </c>
      <c r="D293" s="8" t="s">
        <v>851</v>
      </c>
      <c r="E293" s="8" t="s">
        <v>852</v>
      </c>
      <c r="F293" s="8" t="s">
        <v>3708</v>
      </c>
      <c r="G293" s="8" t="s">
        <v>62</v>
      </c>
      <c r="H293" s="8" t="s">
        <v>853</v>
      </c>
      <c r="I293" s="8" t="s">
        <v>697</v>
      </c>
      <c r="J293" s="8" t="s">
        <v>1090</v>
      </c>
      <c r="K293" s="8" t="s">
        <v>3880</v>
      </c>
      <c r="L293" s="283"/>
      <c r="M293" s="8"/>
      <c r="N293" s="8"/>
      <c r="O293" s="281"/>
      <c r="P293" s="8"/>
      <c r="Q293" s="132"/>
      <c r="R293" s="38"/>
      <c r="S293" s="8"/>
      <c r="T293" s="8"/>
      <c r="U293" s="8"/>
      <c r="V293" s="8"/>
      <c r="W293" s="8"/>
      <c r="X293" s="8"/>
      <c r="Y293" s="8"/>
      <c r="Z293" s="8"/>
      <c r="AA293" s="8"/>
    </row>
    <row r="294" spans="1:51" ht="141.75">
      <c r="A294" s="8" t="s">
        <v>20</v>
      </c>
      <c r="B294" s="29" t="s">
        <v>274</v>
      </c>
      <c r="C294" s="8" t="s">
        <v>850</v>
      </c>
      <c r="D294" s="8" t="s">
        <v>854</v>
      </c>
      <c r="E294" s="8" t="s">
        <v>855</v>
      </c>
      <c r="F294" s="8" t="s">
        <v>3708</v>
      </c>
      <c r="G294" s="8" t="s">
        <v>62</v>
      </c>
      <c r="H294" s="8" t="s">
        <v>856</v>
      </c>
      <c r="I294" s="8" t="s">
        <v>701</v>
      </c>
      <c r="J294" s="8" t="s">
        <v>1191</v>
      </c>
      <c r="K294" s="8" t="s">
        <v>3881</v>
      </c>
      <c r="L294" s="283"/>
      <c r="M294" s="8"/>
      <c r="N294" s="8"/>
      <c r="O294" s="281"/>
      <c r="P294" s="8"/>
      <c r="Q294" s="132"/>
      <c r="R294" s="38"/>
      <c r="S294" s="8"/>
      <c r="T294" s="8"/>
      <c r="U294" s="8"/>
      <c r="V294" s="8"/>
      <c r="W294" s="8"/>
      <c r="X294" s="8"/>
      <c r="Y294" s="8"/>
      <c r="Z294" s="8"/>
      <c r="AA294" s="8"/>
    </row>
    <row r="295" spans="1:51" ht="141.75">
      <c r="A295" s="8" t="s">
        <v>20</v>
      </c>
      <c r="B295" s="29" t="s">
        <v>274</v>
      </c>
      <c r="C295" s="8" t="s">
        <v>850</v>
      </c>
      <c r="D295" s="8" t="s">
        <v>857</v>
      </c>
      <c r="E295" s="8" t="s">
        <v>858</v>
      </c>
      <c r="F295" s="8" t="s">
        <v>3708</v>
      </c>
      <c r="G295" s="8" t="s">
        <v>62</v>
      </c>
      <c r="H295" s="8" t="s">
        <v>859</v>
      </c>
      <c r="I295" s="9">
        <v>0.5</v>
      </c>
      <c r="J295" s="8" t="s">
        <v>1090</v>
      </c>
      <c r="K295" s="8" t="s">
        <v>3882</v>
      </c>
      <c r="L295" s="283"/>
      <c r="M295" s="8"/>
      <c r="N295" s="8"/>
      <c r="O295" s="281"/>
      <c r="P295" s="8"/>
      <c r="Q295" s="132"/>
      <c r="R295" s="38"/>
      <c r="S295" s="8"/>
      <c r="T295" s="8"/>
      <c r="U295" s="8"/>
      <c r="V295" s="8"/>
      <c r="W295" s="8"/>
      <c r="X295" s="8"/>
      <c r="Y295" s="8"/>
      <c r="Z295" s="8"/>
      <c r="AA295" s="8"/>
    </row>
    <row r="296" spans="1:51" ht="252">
      <c r="A296" s="8" t="s">
        <v>20</v>
      </c>
      <c r="B296" s="29" t="s">
        <v>274</v>
      </c>
      <c r="C296" s="8" t="s">
        <v>850</v>
      </c>
      <c r="D296" s="8" t="s">
        <v>860</v>
      </c>
      <c r="E296" s="8" t="s">
        <v>861</v>
      </c>
      <c r="F296" s="8" t="s">
        <v>3708</v>
      </c>
      <c r="G296" s="8" t="s">
        <v>62</v>
      </c>
      <c r="H296" s="8" t="s">
        <v>862</v>
      </c>
      <c r="I296" s="9">
        <v>0.5</v>
      </c>
      <c r="J296" s="8" t="s">
        <v>1090</v>
      </c>
      <c r="K296" s="8" t="s">
        <v>3871</v>
      </c>
      <c r="L296" s="283"/>
      <c r="M296" s="8"/>
      <c r="N296" s="8"/>
      <c r="O296" s="281"/>
      <c r="P296" s="8"/>
      <c r="Q296" s="132"/>
      <c r="R296" s="38"/>
      <c r="S296" s="8"/>
      <c r="T296" s="8"/>
      <c r="U296" s="8"/>
      <c r="V296" s="8"/>
      <c r="W296" s="8"/>
      <c r="X296" s="8"/>
      <c r="Y296" s="8"/>
      <c r="Z296" s="8"/>
      <c r="AA296" s="8"/>
    </row>
    <row r="297" spans="1:51" ht="94.5">
      <c r="A297" s="8" t="s">
        <v>20</v>
      </c>
      <c r="B297" s="29" t="s">
        <v>274</v>
      </c>
      <c r="C297" s="8" t="s">
        <v>850</v>
      </c>
      <c r="D297" s="8" t="s">
        <v>863</v>
      </c>
      <c r="E297" s="8" t="s">
        <v>864</v>
      </c>
      <c r="F297" s="8" t="s">
        <v>3775</v>
      </c>
      <c r="G297" s="8" t="s">
        <v>62</v>
      </c>
      <c r="H297" s="8" t="s">
        <v>865</v>
      </c>
      <c r="I297" s="9">
        <v>0.5</v>
      </c>
      <c r="J297" s="8" t="s">
        <v>1090</v>
      </c>
      <c r="K297" s="8" t="s">
        <v>3883</v>
      </c>
      <c r="L297" s="283"/>
      <c r="M297" s="8"/>
      <c r="N297" s="8"/>
      <c r="O297" s="281"/>
      <c r="P297" s="8"/>
      <c r="Q297" s="132"/>
      <c r="R297" s="38"/>
      <c r="S297" s="8"/>
      <c r="T297" s="8"/>
      <c r="U297" s="8"/>
      <c r="V297" s="8"/>
      <c r="W297" s="8"/>
      <c r="X297" s="8"/>
      <c r="Y297" s="8"/>
      <c r="Z297" s="8"/>
      <c r="AA297" s="8"/>
    </row>
    <row r="298" spans="1:51" s="5" customFormat="1" ht="78.75" hidden="1">
      <c r="A298" s="20" t="s">
        <v>20</v>
      </c>
      <c r="B298" s="30" t="s">
        <v>274</v>
      </c>
      <c r="C298" s="19" t="s">
        <v>866</v>
      </c>
      <c r="D298" s="19" t="s">
        <v>582</v>
      </c>
      <c r="E298" s="19" t="s">
        <v>582</v>
      </c>
      <c r="F298" s="19" t="s">
        <v>582</v>
      </c>
      <c r="G298" s="19" t="s">
        <v>582</v>
      </c>
      <c r="H298" s="19" t="s">
        <v>582</v>
      </c>
      <c r="I298" s="19" t="s">
        <v>582</v>
      </c>
      <c r="J298" s="19" t="s">
        <v>582</v>
      </c>
      <c r="K298" s="19" t="s">
        <v>582</v>
      </c>
      <c r="L298" s="19" t="s">
        <v>582</v>
      </c>
      <c r="M298" s="19" t="s">
        <v>582</v>
      </c>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t="s">
        <v>582</v>
      </c>
      <c r="E299" s="19" t="s">
        <v>582</v>
      </c>
      <c r="F299" s="19" t="s">
        <v>582</v>
      </c>
      <c r="G299" s="19" t="s">
        <v>582</v>
      </c>
      <c r="H299" s="19" t="s">
        <v>582</v>
      </c>
      <c r="I299" s="19" t="s">
        <v>582</v>
      </c>
      <c r="J299" s="19" t="s">
        <v>582</v>
      </c>
      <c r="K299" s="19" t="s">
        <v>582</v>
      </c>
      <c r="L299" s="19" t="s">
        <v>582</v>
      </c>
      <c r="M299" s="19" t="s">
        <v>582</v>
      </c>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141.75">
      <c r="A300" s="8" t="s">
        <v>20</v>
      </c>
      <c r="B300" s="29" t="s">
        <v>274</v>
      </c>
      <c r="C300" s="8" t="s">
        <v>868</v>
      </c>
      <c r="D300" s="8" t="s">
        <v>869</v>
      </c>
      <c r="E300" s="8" t="s">
        <v>870</v>
      </c>
      <c r="F300" s="8" t="s">
        <v>3708</v>
      </c>
      <c r="G300" s="8" t="s">
        <v>62</v>
      </c>
      <c r="H300" s="8" t="s">
        <v>871</v>
      </c>
      <c r="I300" s="8" t="s">
        <v>210</v>
      </c>
      <c r="J300" s="8" t="s">
        <v>1090</v>
      </c>
      <c r="K300" s="8" t="s">
        <v>3884</v>
      </c>
      <c r="L300" s="283"/>
      <c r="M300" s="8"/>
      <c r="N300" s="8"/>
      <c r="O300" s="281"/>
      <c r="P300" s="8"/>
      <c r="Q300" s="132"/>
      <c r="R300" s="38"/>
      <c r="S300" s="8"/>
      <c r="T300" s="8"/>
      <c r="U300" s="8"/>
      <c r="V300" s="8"/>
      <c r="W300" s="8"/>
      <c r="X300" s="8"/>
      <c r="Y300" s="8"/>
      <c r="Z300" s="8"/>
      <c r="AA300" s="8"/>
    </row>
    <row r="301" spans="1:51" ht="94.5">
      <c r="A301" s="8" t="s">
        <v>20</v>
      </c>
      <c r="B301" s="29" t="s">
        <v>274</v>
      </c>
      <c r="C301" s="8" t="s">
        <v>868</v>
      </c>
      <c r="D301" s="8" t="s">
        <v>872</v>
      </c>
      <c r="E301" s="8" t="s">
        <v>873</v>
      </c>
      <c r="F301" s="8" t="s">
        <v>3710</v>
      </c>
      <c r="G301" s="8" t="s">
        <v>62</v>
      </c>
      <c r="H301" s="8" t="s">
        <v>874</v>
      </c>
      <c r="I301" s="8" t="s">
        <v>875</v>
      </c>
      <c r="J301" s="8" t="s">
        <v>1090</v>
      </c>
      <c r="K301" s="8" t="s">
        <v>3885</v>
      </c>
      <c r="L301" s="283"/>
      <c r="M301" s="8"/>
      <c r="N301" s="8"/>
      <c r="O301" s="281"/>
      <c r="P301" s="8"/>
      <c r="Q301" s="132"/>
      <c r="R301" s="38"/>
      <c r="S301" s="8"/>
      <c r="T301" s="8"/>
      <c r="U301" s="8"/>
      <c r="V301" s="8"/>
      <c r="W301" s="8"/>
      <c r="X301" s="8"/>
      <c r="Y301" s="8"/>
      <c r="Z301" s="8"/>
      <c r="AA301" s="8"/>
    </row>
    <row r="302" spans="1:51" ht="63">
      <c r="A302" s="8" t="s">
        <v>20</v>
      </c>
      <c r="B302" s="29" t="s">
        <v>274</v>
      </c>
      <c r="C302" s="8" t="s">
        <v>876</v>
      </c>
      <c r="D302" s="8" t="s">
        <v>877</v>
      </c>
      <c r="E302" s="8" t="s">
        <v>878</v>
      </c>
      <c r="F302" s="20"/>
      <c r="G302" s="20" t="s">
        <v>62</v>
      </c>
      <c r="H302" s="20"/>
      <c r="I302" s="22">
        <v>1</v>
      </c>
      <c r="J302" s="20"/>
      <c r="K302" s="20"/>
      <c r="L302" s="278"/>
      <c r="M302" s="20"/>
      <c r="N302" s="20"/>
      <c r="O302" s="279"/>
      <c r="P302" s="20"/>
      <c r="Q302" s="132"/>
      <c r="R302" s="39"/>
      <c r="S302" s="20"/>
      <c r="T302" s="20"/>
      <c r="U302" s="20"/>
      <c r="V302" s="20"/>
      <c r="W302" s="20"/>
      <c r="X302" s="20"/>
      <c r="Y302" s="20"/>
      <c r="Z302" s="20"/>
      <c r="AA302" s="8"/>
    </row>
    <row r="303" spans="1:51" ht="94.5">
      <c r="A303" s="8" t="s">
        <v>20</v>
      </c>
      <c r="B303" s="29" t="s">
        <v>587</v>
      </c>
      <c r="C303" s="8" t="s">
        <v>876</v>
      </c>
      <c r="D303" s="8" t="s">
        <v>879</v>
      </c>
      <c r="E303" s="69" t="s">
        <v>880</v>
      </c>
      <c r="F303" s="8" t="s">
        <v>3710</v>
      </c>
      <c r="G303" s="8" t="s">
        <v>62</v>
      </c>
      <c r="H303" s="8" t="s">
        <v>591</v>
      </c>
      <c r="I303" s="9">
        <v>1</v>
      </c>
      <c r="J303" s="8" t="s">
        <v>1090</v>
      </c>
      <c r="K303" s="69" t="s">
        <v>3886</v>
      </c>
      <c r="L303" s="283"/>
      <c r="M303" s="8"/>
      <c r="N303" s="8"/>
      <c r="O303" s="281"/>
      <c r="P303" s="8"/>
      <c r="Q303" s="132"/>
      <c r="R303" s="38"/>
      <c r="S303" s="8"/>
      <c r="T303" s="8"/>
      <c r="U303" s="8"/>
      <c r="V303" s="8"/>
      <c r="W303" s="8"/>
      <c r="X303" s="8"/>
      <c r="Y303" s="8"/>
      <c r="Z303" s="8"/>
      <c r="AA303" s="8"/>
    </row>
    <row r="304" spans="1:51" ht="94.5">
      <c r="A304" s="8" t="s">
        <v>20</v>
      </c>
      <c r="B304" s="29" t="s">
        <v>587</v>
      </c>
      <c r="C304" s="8" t="s">
        <v>876</v>
      </c>
      <c r="D304" s="8" t="s">
        <v>881</v>
      </c>
      <c r="E304" s="69" t="s">
        <v>882</v>
      </c>
      <c r="F304" s="8" t="s">
        <v>3710</v>
      </c>
      <c r="G304" s="8" t="s">
        <v>62</v>
      </c>
      <c r="H304" s="8" t="s">
        <v>591</v>
      </c>
      <c r="I304" s="9">
        <v>2</v>
      </c>
      <c r="J304" s="8" t="s">
        <v>1090</v>
      </c>
      <c r="K304" s="69" t="s">
        <v>3887</v>
      </c>
      <c r="L304" s="283"/>
      <c r="M304" s="8"/>
      <c r="N304" s="8"/>
      <c r="O304" s="281"/>
      <c r="P304" s="8"/>
      <c r="Q304" s="132"/>
      <c r="R304" s="38"/>
      <c r="S304" s="8"/>
      <c r="T304" s="8"/>
      <c r="U304" s="8"/>
      <c r="V304" s="8"/>
      <c r="W304" s="8"/>
      <c r="X304" s="8"/>
      <c r="Y304" s="8"/>
      <c r="Z304" s="8"/>
      <c r="AA304" s="8"/>
    </row>
    <row r="305" spans="1:27" ht="141.75">
      <c r="A305" s="8" t="s">
        <v>20</v>
      </c>
      <c r="B305" s="29" t="s">
        <v>587</v>
      </c>
      <c r="C305" s="8" t="s">
        <v>876</v>
      </c>
      <c r="D305" s="8" t="s">
        <v>883</v>
      </c>
      <c r="E305" s="69" t="s">
        <v>884</v>
      </c>
      <c r="F305" s="8" t="s">
        <v>3708</v>
      </c>
      <c r="G305" s="8" t="s">
        <v>62</v>
      </c>
      <c r="H305" s="8" t="s">
        <v>591</v>
      </c>
      <c r="I305" s="9">
        <v>3</v>
      </c>
      <c r="J305" s="8" t="s">
        <v>1090</v>
      </c>
      <c r="K305" s="8" t="s">
        <v>3888</v>
      </c>
      <c r="L305" s="283"/>
      <c r="M305" s="8"/>
      <c r="N305" s="8"/>
      <c r="O305" s="281"/>
      <c r="P305" s="8"/>
      <c r="Q305" s="132"/>
      <c r="R305" s="38"/>
      <c r="S305" s="8"/>
      <c r="T305" s="8"/>
      <c r="U305" s="8"/>
      <c r="V305" s="8"/>
      <c r="W305" s="8"/>
      <c r="X305" s="8"/>
      <c r="Y305" s="8"/>
      <c r="Z305" s="8"/>
      <c r="AA305" s="8"/>
    </row>
    <row r="306" spans="1:27" ht="141.75">
      <c r="A306" s="8" t="s">
        <v>20</v>
      </c>
      <c r="B306" s="29" t="s">
        <v>587</v>
      </c>
      <c r="C306" s="8" t="s">
        <v>876</v>
      </c>
      <c r="D306" s="8" t="s">
        <v>885</v>
      </c>
      <c r="E306" s="69" t="s">
        <v>886</v>
      </c>
      <c r="F306" s="8" t="s">
        <v>3708</v>
      </c>
      <c r="G306" s="8" t="s">
        <v>62</v>
      </c>
      <c r="H306" s="8" t="s">
        <v>591</v>
      </c>
      <c r="I306" s="9">
        <v>4</v>
      </c>
      <c r="J306" s="8" t="s">
        <v>1090</v>
      </c>
      <c r="K306" s="8" t="s">
        <v>3889</v>
      </c>
      <c r="L306" s="283"/>
      <c r="M306" s="8"/>
      <c r="N306" s="8"/>
      <c r="O306" s="281"/>
      <c r="P306" s="8"/>
      <c r="Q306" s="132"/>
      <c r="R306" s="38"/>
      <c r="S306" s="8"/>
      <c r="T306" s="8"/>
      <c r="U306" s="8"/>
      <c r="V306" s="8"/>
      <c r="W306" s="8"/>
      <c r="X306" s="8"/>
      <c r="Y306" s="8"/>
      <c r="Z306" s="8"/>
      <c r="AA306" s="8"/>
    </row>
    <row r="307" spans="1:27" ht="141.75">
      <c r="A307" s="8" t="s">
        <v>20</v>
      </c>
      <c r="B307" s="29" t="s">
        <v>587</v>
      </c>
      <c r="C307" s="8" t="s">
        <v>876</v>
      </c>
      <c r="D307" s="8" t="s">
        <v>887</v>
      </c>
      <c r="E307" s="69" t="s">
        <v>888</v>
      </c>
      <c r="F307" s="8" t="s">
        <v>3708</v>
      </c>
      <c r="G307" s="8" t="s">
        <v>62</v>
      </c>
      <c r="H307" s="8" t="s">
        <v>591</v>
      </c>
      <c r="I307" s="9">
        <v>5</v>
      </c>
      <c r="J307" s="8" t="s">
        <v>1090</v>
      </c>
      <c r="K307" s="8" t="s">
        <v>3872</v>
      </c>
      <c r="L307" s="283"/>
      <c r="M307" s="8"/>
      <c r="N307" s="8"/>
      <c r="O307" s="281"/>
      <c r="P307" s="8"/>
      <c r="Q307" s="132"/>
      <c r="R307" s="38"/>
      <c r="S307" s="8"/>
      <c r="T307" s="8"/>
      <c r="U307" s="8"/>
      <c r="V307" s="8"/>
      <c r="W307" s="8"/>
      <c r="X307" s="8"/>
      <c r="Y307" s="8"/>
      <c r="Z307" s="8"/>
      <c r="AA307" s="8"/>
    </row>
    <row r="308" spans="1:27" ht="94.5">
      <c r="A308" s="8" t="s">
        <v>20</v>
      </c>
      <c r="B308" s="29" t="s">
        <v>587</v>
      </c>
      <c r="C308" s="8" t="s">
        <v>876</v>
      </c>
      <c r="D308" s="8" t="s">
        <v>889</v>
      </c>
      <c r="E308" s="8" t="s">
        <v>890</v>
      </c>
      <c r="F308" s="8" t="s">
        <v>3710</v>
      </c>
      <c r="G308" s="8" t="s">
        <v>58</v>
      </c>
      <c r="H308" s="8" t="s">
        <v>891</v>
      </c>
      <c r="I308" s="9">
        <v>0.5</v>
      </c>
      <c r="J308" s="8" t="s">
        <v>1090</v>
      </c>
      <c r="K308" s="8" t="s">
        <v>3890</v>
      </c>
      <c r="L308" s="283"/>
      <c r="M308" s="8"/>
      <c r="N308" s="8"/>
      <c r="O308" s="281"/>
      <c r="P308" s="8"/>
      <c r="Q308" s="132"/>
      <c r="R308" s="38"/>
      <c r="S308" s="8"/>
      <c r="T308" s="8"/>
      <c r="U308" s="8"/>
      <c r="V308" s="8"/>
      <c r="W308" s="8"/>
      <c r="X308" s="8"/>
      <c r="Y308" s="8"/>
      <c r="Z308" s="8"/>
      <c r="AA308" s="8"/>
    </row>
    <row r="309" spans="1:27" ht="252">
      <c r="A309" s="8" t="s">
        <v>20</v>
      </c>
      <c r="B309" s="29" t="s">
        <v>587</v>
      </c>
      <c r="C309" s="8" t="s">
        <v>876</v>
      </c>
      <c r="D309" s="8" t="s">
        <v>892</v>
      </c>
      <c r="E309" s="8" t="s">
        <v>893</v>
      </c>
      <c r="F309" s="8" t="s">
        <v>3775</v>
      </c>
      <c r="G309" s="8" t="s">
        <v>62</v>
      </c>
      <c r="H309" s="8" t="s">
        <v>894</v>
      </c>
      <c r="I309" s="9">
        <v>1</v>
      </c>
      <c r="J309" s="8" t="s">
        <v>1090</v>
      </c>
      <c r="K309" s="8" t="s">
        <v>3873</v>
      </c>
      <c r="L309" s="283"/>
      <c r="M309" s="8"/>
      <c r="N309" s="8"/>
      <c r="O309" s="281"/>
      <c r="P309" s="8"/>
      <c r="Q309" s="132"/>
      <c r="R309" s="38"/>
      <c r="S309" s="8"/>
      <c r="T309" s="8"/>
      <c r="U309" s="8"/>
      <c r="V309" s="8"/>
      <c r="W309" s="8"/>
      <c r="X309" s="8"/>
      <c r="Y309" s="8"/>
      <c r="Z309" s="8"/>
      <c r="AA309" s="8"/>
    </row>
    <row r="310" spans="1:27" ht="94.5">
      <c r="A310" s="8" t="s">
        <v>20</v>
      </c>
      <c r="B310" s="29" t="s">
        <v>587</v>
      </c>
      <c r="C310" s="8" t="s">
        <v>876</v>
      </c>
      <c r="D310" s="8" t="s">
        <v>895</v>
      </c>
      <c r="E310" s="8" t="s">
        <v>896</v>
      </c>
      <c r="F310" s="8" t="s">
        <v>3710</v>
      </c>
      <c r="G310" s="8" t="s">
        <v>62</v>
      </c>
      <c r="H310" s="8" t="s">
        <v>894</v>
      </c>
      <c r="I310" s="9">
        <v>1</v>
      </c>
      <c r="J310" s="8" t="s">
        <v>1191</v>
      </c>
      <c r="K310" s="8" t="s">
        <v>3891</v>
      </c>
      <c r="L310" s="283"/>
      <c r="M310" s="8" t="s">
        <v>9</v>
      </c>
      <c r="N310" s="8" t="s">
        <v>3892</v>
      </c>
      <c r="O310" s="281"/>
      <c r="P310" s="8"/>
      <c r="Q310" s="132"/>
      <c r="R310" s="38"/>
      <c r="S310" s="8"/>
      <c r="T310" s="8"/>
      <c r="U310" s="8"/>
      <c r="V310" s="8"/>
      <c r="W310" s="8"/>
      <c r="X310" s="8"/>
      <c r="Y310" s="8"/>
      <c r="Z310" s="8"/>
      <c r="AA310" s="8"/>
    </row>
    <row r="311" spans="1:27" ht="141.75">
      <c r="A311" s="8" t="s">
        <v>20</v>
      </c>
      <c r="B311" s="29" t="s">
        <v>587</v>
      </c>
      <c r="C311" s="8" t="s">
        <v>897</v>
      </c>
      <c r="D311" s="8" t="s">
        <v>898</v>
      </c>
      <c r="E311" s="8" t="s">
        <v>899</v>
      </c>
      <c r="F311" s="8" t="s">
        <v>3708</v>
      </c>
      <c r="G311" s="8" t="s">
        <v>62</v>
      </c>
      <c r="H311" s="8" t="s">
        <v>735</v>
      </c>
      <c r="I311" s="9">
        <v>1</v>
      </c>
      <c r="J311" s="8" t="s">
        <v>1191</v>
      </c>
      <c r="K311" s="8" t="s">
        <v>3891</v>
      </c>
      <c r="L311" s="283"/>
      <c r="M311" s="8" t="s">
        <v>10</v>
      </c>
      <c r="N311" s="8" t="s">
        <v>3892</v>
      </c>
      <c r="O311" s="281"/>
      <c r="P311" s="8"/>
      <c r="Q311" s="132"/>
      <c r="R311" s="38"/>
      <c r="S311" s="8"/>
      <c r="T311" s="8"/>
      <c r="U311" s="8"/>
      <c r="V311" s="8"/>
      <c r="W311" s="8"/>
      <c r="X311" s="8"/>
      <c r="Y311" s="8"/>
      <c r="Z311" s="8"/>
      <c r="AA311" s="8"/>
    </row>
    <row r="312" spans="1:27" ht="141.75">
      <c r="A312" s="8" t="s">
        <v>20</v>
      </c>
      <c r="B312" s="29" t="s">
        <v>587</v>
      </c>
      <c r="C312" s="8" t="s">
        <v>897</v>
      </c>
      <c r="D312" s="8" t="s">
        <v>900</v>
      </c>
      <c r="E312" s="8" t="s">
        <v>899</v>
      </c>
      <c r="F312" s="8" t="s">
        <v>3708</v>
      </c>
      <c r="G312" s="8" t="s">
        <v>62</v>
      </c>
      <c r="H312" s="8" t="s">
        <v>428</v>
      </c>
      <c r="I312" s="9">
        <v>1</v>
      </c>
      <c r="J312" s="8" t="s">
        <v>1191</v>
      </c>
      <c r="K312" s="8" t="s">
        <v>3891</v>
      </c>
      <c r="L312" s="283"/>
      <c r="M312" s="8" t="s">
        <v>10</v>
      </c>
      <c r="N312" s="8" t="s">
        <v>3892</v>
      </c>
      <c r="O312" s="281"/>
      <c r="P312" s="8"/>
      <c r="Q312" s="132"/>
      <c r="R312" s="38"/>
      <c r="S312" s="8"/>
      <c r="T312" s="8"/>
      <c r="U312" s="8"/>
      <c r="V312" s="8"/>
      <c r="W312" s="8"/>
      <c r="X312" s="8"/>
      <c r="Y312" s="8"/>
      <c r="Z312" s="8"/>
      <c r="AA312" s="8"/>
    </row>
    <row r="313" spans="1:27" ht="173.25">
      <c r="A313" s="8" t="s">
        <v>20</v>
      </c>
      <c r="B313" s="29" t="s">
        <v>587</v>
      </c>
      <c r="C313" s="8" t="s">
        <v>901</v>
      </c>
      <c r="D313" s="8" t="s">
        <v>902</v>
      </c>
      <c r="E313" s="8" t="s">
        <v>903</v>
      </c>
      <c r="F313" s="8" t="s">
        <v>3710</v>
      </c>
      <c r="G313" s="8" t="s">
        <v>62</v>
      </c>
      <c r="H313" s="8" t="s">
        <v>623</v>
      </c>
      <c r="I313" s="9">
        <v>1</v>
      </c>
      <c r="J313" s="8" t="s">
        <v>1090</v>
      </c>
      <c r="K313" s="8" t="s">
        <v>3893</v>
      </c>
      <c r="L313" s="283"/>
      <c r="M313" s="8"/>
      <c r="N313" s="8"/>
      <c r="O313" s="281"/>
      <c r="P313" s="8"/>
      <c r="Q313" s="132"/>
      <c r="R313" s="38"/>
      <c r="S313" s="8"/>
      <c r="T313" s="8"/>
      <c r="U313" s="8"/>
      <c r="V313" s="8"/>
      <c r="W313" s="8"/>
      <c r="X313" s="8"/>
      <c r="Y313" s="8"/>
      <c r="Z313" s="8"/>
      <c r="AA313" s="8"/>
    </row>
    <row r="314" spans="1:27" ht="141.75">
      <c r="A314" s="8" t="s">
        <v>20</v>
      </c>
      <c r="B314" s="29" t="s">
        <v>587</v>
      </c>
      <c r="C314" s="8" t="s">
        <v>901</v>
      </c>
      <c r="D314" s="8" t="s">
        <v>904</v>
      </c>
      <c r="E314" s="8" t="s">
        <v>905</v>
      </c>
      <c r="F314" s="8" t="s">
        <v>3708</v>
      </c>
      <c r="G314" s="8" t="s">
        <v>62</v>
      </c>
      <c r="H314" s="8" t="s">
        <v>742</v>
      </c>
      <c r="I314" s="9">
        <v>0.5</v>
      </c>
      <c r="J314" s="8" t="s">
        <v>1191</v>
      </c>
      <c r="K314" s="8" t="s">
        <v>3894</v>
      </c>
      <c r="L314" s="283"/>
      <c r="M314" s="8" t="s">
        <v>9</v>
      </c>
      <c r="N314" s="8"/>
      <c r="O314" s="281"/>
      <c r="P314" s="8"/>
      <c r="Q314" s="132"/>
      <c r="R314" s="38"/>
      <c r="S314" s="8"/>
      <c r="T314" s="8"/>
      <c r="U314" s="8"/>
      <c r="V314" s="8"/>
      <c r="W314" s="8"/>
      <c r="X314" s="8"/>
      <c r="Y314" s="8"/>
      <c r="Z314" s="8"/>
      <c r="AA314" s="8"/>
    </row>
    <row r="315" spans="1:27" ht="110.25">
      <c r="A315" s="8" t="s">
        <v>20</v>
      </c>
      <c r="B315" s="29" t="s">
        <v>587</v>
      </c>
      <c r="C315" s="8" t="s">
        <v>901</v>
      </c>
      <c r="D315" s="8" t="s">
        <v>906</v>
      </c>
      <c r="E315" s="8" t="s">
        <v>907</v>
      </c>
      <c r="F315" s="8" t="s">
        <v>3766</v>
      </c>
      <c r="G315" s="8" t="s">
        <v>58</v>
      </c>
      <c r="H315" s="8" t="s">
        <v>745</v>
      </c>
      <c r="I315" s="9">
        <v>0.5</v>
      </c>
      <c r="J315" s="8" t="s">
        <v>1191</v>
      </c>
      <c r="K315" s="8" t="s">
        <v>3895</v>
      </c>
      <c r="L315" s="283"/>
      <c r="M315" s="8" t="s">
        <v>11</v>
      </c>
      <c r="N315" s="8"/>
      <c r="O315" s="281"/>
      <c r="P315" s="8"/>
      <c r="Q315" s="132"/>
      <c r="R315" s="38"/>
      <c r="S315" s="8"/>
      <c r="T315" s="8"/>
      <c r="U315" s="8"/>
      <c r="V315" s="8"/>
      <c r="W315" s="8"/>
      <c r="X315" s="8"/>
      <c r="Y315" s="8"/>
      <c r="Z315" s="8"/>
      <c r="AA315" s="8"/>
    </row>
    <row r="316" spans="1:27" ht="94.5">
      <c r="A316" s="8" t="s">
        <v>20</v>
      </c>
      <c r="B316" s="29" t="s">
        <v>587</v>
      </c>
      <c r="C316" s="8" t="s">
        <v>908</v>
      </c>
      <c r="D316" s="8" t="s">
        <v>909</v>
      </c>
      <c r="E316" s="8" t="s">
        <v>910</v>
      </c>
      <c r="F316" s="8" t="s">
        <v>3710</v>
      </c>
      <c r="G316" s="8" t="s">
        <v>62</v>
      </c>
      <c r="H316" s="8" t="s">
        <v>911</v>
      </c>
      <c r="I316" s="9">
        <v>0.5</v>
      </c>
      <c r="J316" s="8" t="s">
        <v>1191</v>
      </c>
      <c r="K316" s="8" t="s">
        <v>3896</v>
      </c>
      <c r="L316" s="283"/>
      <c r="M316" s="8" t="s">
        <v>9</v>
      </c>
      <c r="N316" s="8"/>
      <c r="O316" s="281"/>
      <c r="P316" s="8"/>
      <c r="Q316" s="132"/>
      <c r="R316" s="38"/>
      <c r="S316" s="8"/>
      <c r="T316" s="8"/>
      <c r="U316" s="8"/>
      <c r="V316" s="8"/>
      <c r="W316" s="8"/>
      <c r="X316" s="8"/>
      <c r="Y316" s="8"/>
      <c r="Z316" s="8"/>
      <c r="AA316" s="8"/>
    </row>
    <row r="317" spans="1:27" ht="110.25">
      <c r="A317" s="8" t="s">
        <v>20</v>
      </c>
      <c r="B317" s="29" t="s">
        <v>587</v>
      </c>
      <c r="C317" s="8" t="s">
        <v>908</v>
      </c>
      <c r="D317" s="8" t="s">
        <v>912</v>
      </c>
      <c r="E317" s="8" t="s">
        <v>913</v>
      </c>
      <c r="F317" s="8" t="s">
        <v>3766</v>
      </c>
      <c r="G317" s="8" t="s">
        <v>62</v>
      </c>
      <c r="H317" s="8" t="s">
        <v>859</v>
      </c>
      <c r="I317" s="9">
        <v>0.5</v>
      </c>
      <c r="J317" s="8" t="s">
        <v>8</v>
      </c>
      <c r="K317" s="8"/>
      <c r="L317" s="283"/>
      <c r="M317" s="8"/>
      <c r="N317" s="8"/>
      <c r="O317" s="281"/>
      <c r="P317" s="8"/>
      <c r="Q317" s="132"/>
      <c r="R317" s="38"/>
      <c r="S317" s="8"/>
      <c r="T317" s="8"/>
      <c r="U317" s="8"/>
      <c r="V317" s="8"/>
      <c r="W317" s="8"/>
      <c r="X317" s="8"/>
      <c r="Y317" s="8"/>
      <c r="Z317" s="8"/>
      <c r="AA317" s="8"/>
    </row>
    <row r="318" spans="1:27" ht="110.25">
      <c r="A318" s="8" t="s">
        <v>20</v>
      </c>
      <c r="B318" s="29" t="s">
        <v>587</v>
      </c>
      <c r="C318" s="8" t="s">
        <v>908</v>
      </c>
      <c r="D318" s="8" t="s">
        <v>914</v>
      </c>
      <c r="E318" s="8" t="s">
        <v>915</v>
      </c>
      <c r="F318" s="8" t="s">
        <v>3710</v>
      </c>
      <c r="G318" s="8" t="s">
        <v>62</v>
      </c>
      <c r="H318" s="8" t="s">
        <v>916</v>
      </c>
      <c r="I318" s="9">
        <v>0.5</v>
      </c>
      <c r="J318" s="8" t="s">
        <v>8</v>
      </c>
      <c r="K318" s="8" t="s">
        <v>3897</v>
      </c>
      <c r="L318" s="283"/>
      <c r="M318" s="8"/>
      <c r="N318" s="8"/>
      <c r="O318" s="281"/>
      <c r="P318" s="8"/>
      <c r="Q318" s="132"/>
      <c r="R318" s="38"/>
      <c r="S318" s="8"/>
      <c r="T318" s="8"/>
      <c r="U318" s="8"/>
      <c r="V318" s="8"/>
      <c r="W318" s="8"/>
      <c r="X318" s="8"/>
      <c r="Y318" s="8"/>
      <c r="Z318" s="8"/>
      <c r="AA318" s="8"/>
    </row>
    <row r="319" spans="1:27">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c r="A320" s="8" t="s">
        <v>22</v>
      </c>
      <c r="B320" s="31" t="s">
        <v>54</v>
      </c>
      <c r="C320" s="18" t="s">
        <v>918</v>
      </c>
      <c r="D320" s="18" t="s">
        <v>919</v>
      </c>
      <c r="E320" s="18" t="s">
        <v>920</v>
      </c>
      <c r="F320" s="20"/>
      <c r="G320" s="24" t="s">
        <v>62</v>
      </c>
      <c r="H320" s="24" t="s">
        <v>921</v>
      </c>
      <c r="I320" s="24" t="s">
        <v>485</v>
      </c>
      <c r="J320" s="20"/>
      <c r="K320" s="20"/>
      <c r="L320" s="278"/>
      <c r="M320" s="20"/>
      <c r="N320" s="20"/>
      <c r="O320" s="279"/>
      <c r="P320" s="20"/>
      <c r="Q320" s="132"/>
      <c r="R320" s="39"/>
      <c r="S320" s="20"/>
      <c r="T320" s="20"/>
      <c r="U320" s="20"/>
      <c r="V320" s="20"/>
      <c r="W320" s="20"/>
      <c r="X320" s="20"/>
      <c r="Y320" s="20"/>
      <c r="Z320" s="20"/>
      <c r="AA320" s="8"/>
    </row>
    <row r="321" spans="1:51" ht="94.5">
      <c r="A321" s="8" t="s">
        <v>22</v>
      </c>
      <c r="B321" s="31" t="s">
        <v>54</v>
      </c>
      <c r="C321" s="18" t="s">
        <v>918</v>
      </c>
      <c r="D321" s="18" t="s">
        <v>922</v>
      </c>
      <c r="E321" s="69" t="s">
        <v>923</v>
      </c>
      <c r="F321" s="8" t="s">
        <v>3710</v>
      </c>
      <c r="G321" s="18" t="s">
        <v>62</v>
      </c>
      <c r="H321" s="18" t="s">
        <v>921</v>
      </c>
      <c r="I321" s="18" t="s">
        <v>485</v>
      </c>
      <c r="J321" s="8" t="s">
        <v>1191</v>
      </c>
      <c r="K321" s="8" t="s">
        <v>3898</v>
      </c>
      <c r="L321" s="283"/>
      <c r="M321" s="8" t="s">
        <v>9</v>
      </c>
      <c r="N321" s="8"/>
      <c r="O321" s="281"/>
      <c r="P321" s="8"/>
      <c r="Q321" s="132"/>
      <c r="R321" s="38"/>
      <c r="S321" s="8"/>
      <c r="T321" s="8"/>
      <c r="U321" s="8"/>
      <c r="V321" s="8"/>
      <c r="W321" s="8"/>
      <c r="X321" s="8"/>
      <c r="Y321" s="8"/>
      <c r="Z321" s="8"/>
      <c r="AA321" s="8"/>
    </row>
    <row r="322" spans="1:51" ht="94.5">
      <c r="A322" s="8" t="s">
        <v>22</v>
      </c>
      <c r="B322" s="31" t="s">
        <v>54</v>
      </c>
      <c r="C322" s="18" t="s">
        <v>918</v>
      </c>
      <c r="D322" s="18" t="s">
        <v>924</v>
      </c>
      <c r="E322" s="69" t="s">
        <v>925</v>
      </c>
      <c r="F322" s="8" t="s">
        <v>3899</v>
      </c>
      <c r="G322" s="18" t="s">
        <v>62</v>
      </c>
      <c r="H322" s="18" t="s">
        <v>921</v>
      </c>
      <c r="I322" s="18" t="s">
        <v>485</v>
      </c>
      <c r="J322" s="8" t="s">
        <v>1191</v>
      </c>
      <c r="K322" s="8" t="s">
        <v>3900</v>
      </c>
      <c r="L322" s="283"/>
      <c r="M322" s="8" t="s">
        <v>9</v>
      </c>
      <c r="N322" s="8"/>
      <c r="O322" s="281"/>
      <c r="P322" s="8"/>
      <c r="Q322" s="132"/>
      <c r="R322" s="38"/>
      <c r="S322" s="8"/>
      <c r="T322" s="8"/>
      <c r="U322" s="8"/>
      <c r="V322" s="8"/>
      <c r="W322" s="8"/>
      <c r="X322" s="8"/>
      <c r="Y322" s="8"/>
      <c r="Z322" s="8"/>
      <c r="AA322" s="8"/>
    </row>
    <row r="323" spans="1:51" ht="94.5">
      <c r="A323" s="8" t="s">
        <v>22</v>
      </c>
      <c r="B323" s="31" t="s">
        <v>54</v>
      </c>
      <c r="C323" s="18" t="s">
        <v>918</v>
      </c>
      <c r="D323" s="18" t="s">
        <v>926</v>
      </c>
      <c r="E323" s="69" t="s">
        <v>927</v>
      </c>
      <c r="F323" s="8" t="s">
        <v>3710</v>
      </c>
      <c r="G323" s="18" t="s">
        <v>62</v>
      </c>
      <c r="H323" s="18" t="s">
        <v>921</v>
      </c>
      <c r="I323" s="18" t="s">
        <v>485</v>
      </c>
      <c r="J323" s="8" t="s">
        <v>1191</v>
      </c>
      <c r="K323" s="8" t="s">
        <v>3901</v>
      </c>
      <c r="L323" s="283"/>
      <c r="M323" s="8" t="s">
        <v>9</v>
      </c>
      <c r="N323" s="8"/>
      <c r="O323" s="281"/>
      <c r="P323" s="8"/>
      <c r="Q323" s="132"/>
      <c r="R323" s="38"/>
      <c r="S323" s="8"/>
      <c r="T323" s="8"/>
      <c r="U323" s="8"/>
      <c r="V323" s="8"/>
      <c r="W323" s="8"/>
      <c r="X323" s="8"/>
      <c r="Y323" s="8"/>
      <c r="Z323" s="8"/>
      <c r="AA323" s="8"/>
    </row>
    <row r="324" spans="1:51" ht="63">
      <c r="A324" s="8" t="s">
        <v>22</v>
      </c>
      <c r="B324" s="31" t="s">
        <v>54</v>
      </c>
      <c r="C324" s="18" t="s">
        <v>928</v>
      </c>
      <c r="D324" s="18" t="s">
        <v>929</v>
      </c>
      <c r="E324" s="18" t="s">
        <v>930</v>
      </c>
      <c r="F324" s="20"/>
      <c r="G324" s="24" t="s">
        <v>62</v>
      </c>
      <c r="H324" s="20"/>
      <c r="I324" s="20"/>
      <c r="J324" s="20"/>
      <c r="K324" s="20"/>
      <c r="L324" s="278"/>
      <c r="M324" s="20"/>
      <c r="N324" s="20"/>
      <c r="O324" s="279"/>
      <c r="P324" s="20"/>
      <c r="Q324" s="132"/>
      <c r="R324" s="39"/>
      <c r="S324" s="20"/>
      <c r="T324" s="20"/>
      <c r="U324" s="20"/>
      <c r="V324" s="20"/>
      <c r="W324" s="20"/>
      <c r="X324" s="20"/>
      <c r="Y324" s="20"/>
      <c r="Z324" s="20"/>
      <c r="AA324" s="8"/>
    </row>
    <row r="325" spans="1:51" ht="94.5">
      <c r="A325" s="8" t="s">
        <v>22</v>
      </c>
      <c r="B325" s="31" t="s">
        <v>54</v>
      </c>
      <c r="C325" s="18" t="s">
        <v>928</v>
      </c>
      <c r="D325" s="18" t="s">
        <v>931</v>
      </c>
      <c r="E325" s="69" t="s">
        <v>932</v>
      </c>
      <c r="F325" s="8" t="s">
        <v>3710</v>
      </c>
      <c r="G325" s="18" t="s">
        <v>62</v>
      </c>
      <c r="H325" s="18" t="s">
        <v>493</v>
      </c>
      <c r="I325" s="18" t="s">
        <v>933</v>
      </c>
      <c r="J325" s="8" t="s">
        <v>1191</v>
      </c>
      <c r="K325" s="8" t="s">
        <v>3902</v>
      </c>
      <c r="L325" s="283"/>
      <c r="M325" s="8" t="s">
        <v>9</v>
      </c>
      <c r="N325" s="8"/>
      <c r="O325" s="281"/>
      <c r="P325" s="8"/>
      <c r="Q325" s="132"/>
      <c r="R325" s="38"/>
      <c r="S325" s="8"/>
      <c r="T325" s="8"/>
      <c r="U325" s="8"/>
      <c r="V325" s="8"/>
      <c r="W325" s="8"/>
      <c r="X325" s="8"/>
      <c r="Y325" s="8"/>
      <c r="Z325" s="8"/>
      <c r="AA325" s="8"/>
    </row>
    <row r="326" spans="1:51" ht="141.75">
      <c r="A326" s="8" t="s">
        <v>22</v>
      </c>
      <c r="B326" s="31" t="s">
        <v>54</v>
      </c>
      <c r="C326" s="18" t="s">
        <v>928</v>
      </c>
      <c r="D326" s="18" t="s">
        <v>934</v>
      </c>
      <c r="E326" s="69" t="s">
        <v>935</v>
      </c>
      <c r="F326" s="8" t="s">
        <v>3708</v>
      </c>
      <c r="G326" s="18" t="s">
        <v>62</v>
      </c>
      <c r="H326" s="18" t="s">
        <v>493</v>
      </c>
      <c r="I326" s="18" t="s">
        <v>933</v>
      </c>
      <c r="J326" s="8" t="s">
        <v>1191</v>
      </c>
      <c r="K326" s="8" t="s">
        <v>3902</v>
      </c>
      <c r="L326" s="283"/>
      <c r="M326" s="8" t="s">
        <v>9</v>
      </c>
      <c r="N326" s="8"/>
      <c r="O326" s="281"/>
      <c r="P326" s="8"/>
      <c r="Q326" s="132"/>
      <c r="R326" s="38"/>
      <c r="S326" s="8"/>
      <c r="T326" s="8"/>
      <c r="U326" s="8"/>
      <c r="V326" s="8"/>
      <c r="W326" s="8"/>
      <c r="X326" s="8"/>
      <c r="Y326" s="8"/>
      <c r="Z326" s="8"/>
      <c r="AA326" s="8"/>
    </row>
    <row r="327" spans="1:51" ht="94.5">
      <c r="A327" s="8" t="s">
        <v>22</v>
      </c>
      <c r="B327" s="31" t="s">
        <v>54</v>
      </c>
      <c r="C327" s="18" t="s">
        <v>928</v>
      </c>
      <c r="D327" s="18" t="s">
        <v>936</v>
      </c>
      <c r="E327" s="69" t="s">
        <v>937</v>
      </c>
      <c r="F327" s="8" t="s">
        <v>3710</v>
      </c>
      <c r="G327" s="18" t="s">
        <v>62</v>
      </c>
      <c r="H327" s="18" t="s">
        <v>493</v>
      </c>
      <c r="I327" s="18" t="s">
        <v>933</v>
      </c>
      <c r="J327" s="8" t="s">
        <v>1191</v>
      </c>
      <c r="K327" s="8" t="s">
        <v>3903</v>
      </c>
      <c r="L327" s="283"/>
      <c r="M327" s="8" t="s">
        <v>9</v>
      </c>
      <c r="N327" s="8"/>
      <c r="O327" s="281"/>
      <c r="P327" s="8"/>
      <c r="Q327" s="132"/>
      <c r="R327" s="38"/>
      <c r="S327" s="8"/>
      <c r="T327" s="8"/>
      <c r="U327" s="8"/>
      <c r="V327" s="8"/>
      <c r="W327" s="8"/>
      <c r="X327" s="8"/>
      <c r="Y327" s="8"/>
      <c r="Z327" s="8"/>
      <c r="AA327" s="8"/>
    </row>
    <row r="328" spans="1:51" ht="94.5">
      <c r="A328" s="8" t="s">
        <v>22</v>
      </c>
      <c r="B328" s="31" t="s">
        <v>54</v>
      </c>
      <c r="C328" s="18" t="s">
        <v>928</v>
      </c>
      <c r="D328" s="18" t="s">
        <v>938</v>
      </c>
      <c r="E328" s="69" t="s">
        <v>939</v>
      </c>
      <c r="F328" s="8" t="s">
        <v>3710</v>
      </c>
      <c r="G328" s="18" t="s">
        <v>62</v>
      </c>
      <c r="H328" s="18" t="s">
        <v>493</v>
      </c>
      <c r="I328" s="18" t="s">
        <v>933</v>
      </c>
      <c r="J328" s="8" t="s">
        <v>1191</v>
      </c>
      <c r="K328" s="8" t="s">
        <v>3903</v>
      </c>
      <c r="L328" s="283"/>
      <c r="M328" s="8" t="s">
        <v>9</v>
      </c>
      <c r="N328" s="8"/>
      <c r="O328" s="281"/>
      <c r="P328" s="8"/>
      <c r="Q328" s="132"/>
      <c r="R328" s="38"/>
      <c r="S328" s="8"/>
      <c r="T328" s="8"/>
      <c r="U328" s="8"/>
      <c r="V328" s="8"/>
      <c r="W328" s="8"/>
      <c r="X328" s="8"/>
      <c r="Y328" s="8"/>
      <c r="Z328" s="8"/>
      <c r="AA328" s="8"/>
    </row>
    <row r="329" spans="1:51" ht="111.6" customHeight="1">
      <c r="A329" s="8" t="s">
        <v>22</v>
      </c>
      <c r="B329" s="31" t="s">
        <v>54</v>
      </c>
      <c r="C329" s="18" t="s">
        <v>928</v>
      </c>
      <c r="D329" s="18" t="s">
        <v>940</v>
      </c>
      <c r="E329" s="18" t="s">
        <v>941</v>
      </c>
      <c r="F329" s="8" t="s">
        <v>3710</v>
      </c>
      <c r="G329" s="18" t="s">
        <v>62</v>
      </c>
      <c r="H329" s="18" t="s">
        <v>525</v>
      </c>
      <c r="I329" s="18" t="s">
        <v>526</v>
      </c>
      <c r="J329" s="8" t="s">
        <v>8</v>
      </c>
      <c r="K329" s="8"/>
      <c r="L329" s="283"/>
      <c r="M329" s="8"/>
      <c r="N329" s="8"/>
      <c r="O329" s="281"/>
      <c r="P329" s="8"/>
      <c r="Q329" s="132"/>
      <c r="R329" s="38"/>
      <c r="S329" s="8"/>
      <c r="T329" s="8"/>
      <c r="U329" s="8"/>
      <c r="V329" s="8"/>
      <c r="W329" s="8"/>
      <c r="X329" s="8"/>
      <c r="Y329" s="8"/>
      <c r="Z329" s="8"/>
      <c r="AA329" s="8"/>
    </row>
    <row r="330" spans="1:51" ht="67.900000000000006" customHeight="1">
      <c r="A330" s="8" t="s">
        <v>22</v>
      </c>
      <c r="B330" s="31" t="s">
        <v>54</v>
      </c>
      <c r="C330" s="18" t="s">
        <v>928</v>
      </c>
      <c r="D330" s="18" t="s">
        <v>942</v>
      </c>
      <c r="E330" s="18" t="s">
        <v>943</v>
      </c>
      <c r="F330" s="8" t="s">
        <v>3710</v>
      </c>
      <c r="G330" s="18" t="s">
        <v>62</v>
      </c>
      <c r="H330" s="18" t="s">
        <v>944</v>
      </c>
      <c r="I330" s="23">
        <v>1</v>
      </c>
      <c r="J330" s="8" t="s">
        <v>1191</v>
      </c>
      <c r="K330" s="8" t="s">
        <v>3904</v>
      </c>
      <c r="L330" s="283"/>
      <c r="M330" s="8" t="s">
        <v>9</v>
      </c>
      <c r="N330" s="8"/>
      <c r="O330" s="281"/>
      <c r="P330" s="8"/>
      <c r="Q330" s="132"/>
      <c r="R330" s="38"/>
      <c r="S330" s="8"/>
      <c r="T330" s="8"/>
      <c r="U330" s="8"/>
      <c r="V330" s="8"/>
      <c r="W330" s="8"/>
      <c r="X330" s="8"/>
      <c r="Y330" s="8"/>
      <c r="Z330" s="8"/>
      <c r="AA330" s="8"/>
    </row>
    <row r="331" spans="1:51" ht="51" customHeight="1">
      <c r="A331" s="8" t="s">
        <v>22</v>
      </c>
      <c r="B331" s="31" t="s">
        <v>54</v>
      </c>
      <c r="C331" s="18" t="s">
        <v>928</v>
      </c>
      <c r="D331" s="18" t="s">
        <v>945</v>
      </c>
      <c r="E331" s="18" t="s">
        <v>946</v>
      </c>
      <c r="F331" s="8" t="s">
        <v>3710</v>
      </c>
      <c r="G331" s="18" t="s">
        <v>62</v>
      </c>
      <c r="H331" s="18" t="s">
        <v>944</v>
      </c>
      <c r="I331" s="23">
        <v>1</v>
      </c>
      <c r="J331" s="8" t="s">
        <v>1191</v>
      </c>
      <c r="K331" s="8" t="s">
        <v>3905</v>
      </c>
      <c r="L331" s="283"/>
      <c r="M331" s="8" t="s">
        <v>9</v>
      </c>
      <c r="N331" s="8"/>
      <c r="O331" s="281"/>
      <c r="P331" s="8"/>
      <c r="Q331" s="132"/>
      <c r="R331" s="38"/>
      <c r="S331" s="8"/>
      <c r="T331" s="8"/>
      <c r="U331" s="8"/>
      <c r="V331" s="8"/>
      <c r="W331" s="8"/>
      <c r="X331" s="8"/>
      <c r="Y331" s="8"/>
      <c r="Z331" s="8"/>
      <c r="AA331" s="8"/>
    </row>
    <row r="332" spans="1:51" s="5" customFormat="1" ht="31.5" hidden="1">
      <c r="A332" s="20" t="s">
        <v>22</v>
      </c>
      <c r="B332" s="32" t="s">
        <v>54</v>
      </c>
      <c r="C332" s="24" t="s">
        <v>947</v>
      </c>
      <c r="D332" s="19" t="s">
        <v>582</v>
      </c>
      <c r="E332" s="24" t="s">
        <v>582</v>
      </c>
      <c r="F332" s="24" t="s">
        <v>582</v>
      </c>
      <c r="G332" s="19" t="s">
        <v>582</v>
      </c>
      <c r="H332" s="19" t="s">
        <v>582</v>
      </c>
      <c r="I332" s="19" t="s">
        <v>582</v>
      </c>
      <c r="J332" s="19" t="s">
        <v>582</v>
      </c>
      <c r="K332" s="19" t="s">
        <v>582</v>
      </c>
      <c r="L332" s="19" t="s">
        <v>582</v>
      </c>
      <c r="M332" s="19" t="s">
        <v>582</v>
      </c>
      <c r="N332" s="19" t="s">
        <v>582</v>
      </c>
      <c r="O332" s="19" t="s">
        <v>582</v>
      </c>
      <c r="P332" s="19" t="s">
        <v>582</v>
      </c>
      <c r="Q332" s="48"/>
      <c r="R332" s="44" t="s">
        <v>582</v>
      </c>
      <c r="S332" s="19" t="s">
        <v>582</v>
      </c>
      <c r="T332" s="19" t="s">
        <v>582</v>
      </c>
      <c r="U332" s="19"/>
      <c r="V332" s="19" t="s">
        <v>582</v>
      </c>
      <c r="W332" s="19" t="s">
        <v>582</v>
      </c>
      <c r="X332" s="19" t="s">
        <v>582</v>
      </c>
      <c r="Y332" s="19" t="s">
        <v>582</v>
      </c>
      <c r="Z332" s="19" t="s">
        <v>582</v>
      </c>
      <c r="AA332" s="19" t="s">
        <v>582</v>
      </c>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customHeight="1">
      <c r="A333" s="8" t="s">
        <v>22</v>
      </c>
      <c r="B333" s="31" t="s">
        <v>195</v>
      </c>
      <c r="C333" s="18" t="s">
        <v>948</v>
      </c>
      <c r="D333" s="18" t="s">
        <v>949</v>
      </c>
      <c r="E333" s="18" t="s">
        <v>950</v>
      </c>
      <c r="F333" s="8" t="s">
        <v>3710</v>
      </c>
      <c r="G333" s="18" t="s">
        <v>62</v>
      </c>
      <c r="H333" s="18" t="s">
        <v>951</v>
      </c>
      <c r="I333" s="23">
        <v>1</v>
      </c>
      <c r="J333" s="8" t="s">
        <v>1090</v>
      </c>
      <c r="K333" s="8" t="s">
        <v>3902</v>
      </c>
      <c r="L333" s="283"/>
      <c r="M333" s="8"/>
      <c r="N333" s="8"/>
      <c r="O333" s="281"/>
      <c r="P333" s="8"/>
      <c r="Q333" s="132"/>
      <c r="R333" s="38"/>
      <c r="S333" s="8"/>
      <c r="T333" s="8"/>
      <c r="U333" s="8"/>
      <c r="V333" s="8"/>
      <c r="W333" s="8"/>
      <c r="X333" s="8"/>
      <c r="Y333" s="8"/>
      <c r="Z333" s="8"/>
      <c r="AA333" s="8"/>
    </row>
    <row r="334" spans="1:51" ht="34.15" customHeight="1">
      <c r="A334" s="8" t="s">
        <v>22</v>
      </c>
      <c r="B334" s="31" t="s">
        <v>195</v>
      </c>
      <c r="C334" s="18" t="s">
        <v>952</v>
      </c>
      <c r="D334" s="18" t="s">
        <v>953</v>
      </c>
      <c r="E334" s="18" t="s">
        <v>954</v>
      </c>
      <c r="F334" s="8" t="s">
        <v>3710</v>
      </c>
      <c r="G334" s="18" t="s">
        <v>62</v>
      </c>
      <c r="H334" s="18" t="s">
        <v>955</v>
      </c>
      <c r="I334" s="23">
        <v>1</v>
      </c>
      <c r="J334" s="8" t="s">
        <v>1090</v>
      </c>
      <c r="K334" s="8" t="s">
        <v>3906</v>
      </c>
      <c r="L334" s="283"/>
      <c r="M334" s="8"/>
      <c r="N334" s="8"/>
      <c r="O334" s="281"/>
      <c r="P334" s="8"/>
      <c r="Q334" s="132"/>
      <c r="R334" s="38"/>
      <c r="S334" s="8"/>
      <c r="T334" s="8"/>
      <c r="U334" s="8"/>
      <c r="V334" s="8"/>
      <c r="W334" s="8"/>
      <c r="X334" s="8"/>
      <c r="Y334" s="8"/>
      <c r="Z334" s="8"/>
      <c r="AA334" s="8"/>
    </row>
    <row r="335" spans="1:51" s="5" customFormat="1" ht="47.25" hidden="1">
      <c r="A335" s="20" t="s">
        <v>22</v>
      </c>
      <c r="B335" s="32" t="s">
        <v>195</v>
      </c>
      <c r="C335" s="24" t="s">
        <v>956</v>
      </c>
      <c r="D335" s="19" t="s">
        <v>582</v>
      </c>
      <c r="E335" s="24" t="s">
        <v>582</v>
      </c>
      <c r="F335" s="24" t="s">
        <v>582</v>
      </c>
      <c r="G335" s="19" t="s">
        <v>582</v>
      </c>
      <c r="H335" s="19" t="s">
        <v>582</v>
      </c>
      <c r="I335" s="19" t="s">
        <v>582</v>
      </c>
      <c r="J335" s="19" t="s">
        <v>582</v>
      </c>
      <c r="K335" s="19" t="s">
        <v>582</v>
      </c>
      <c r="L335" s="19" t="s">
        <v>582</v>
      </c>
      <c r="M335" s="19" t="s">
        <v>582</v>
      </c>
      <c r="N335" s="19" t="s">
        <v>582</v>
      </c>
      <c r="O335" s="19" t="s">
        <v>582</v>
      </c>
      <c r="P335" s="19" t="s">
        <v>582</v>
      </c>
      <c r="Q335" s="48"/>
      <c r="R335" s="44" t="s">
        <v>582</v>
      </c>
      <c r="S335" s="19" t="s">
        <v>582</v>
      </c>
      <c r="T335" s="19" t="s">
        <v>582</v>
      </c>
      <c r="U335" s="19"/>
      <c r="V335" s="19" t="s">
        <v>582</v>
      </c>
      <c r="W335" s="19" t="s">
        <v>582</v>
      </c>
      <c r="X335" s="19" t="s">
        <v>582</v>
      </c>
      <c r="Y335" s="19" t="s">
        <v>582</v>
      </c>
      <c r="Z335" s="19" t="s">
        <v>582</v>
      </c>
      <c r="AA335" s="19" t="s">
        <v>582</v>
      </c>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94.5">
      <c r="A336" s="8" t="s">
        <v>22</v>
      </c>
      <c r="B336" s="31" t="s">
        <v>195</v>
      </c>
      <c r="C336" s="18" t="s">
        <v>957</v>
      </c>
      <c r="D336" s="18" t="s">
        <v>958</v>
      </c>
      <c r="E336" s="18" t="s">
        <v>959</v>
      </c>
      <c r="F336" s="8" t="s">
        <v>3775</v>
      </c>
      <c r="G336" s="18" t="s">
        <v>62</v>
      </c>
      <c r="H336" s="18" t="s">
        <v>960</v>
      </c>
      <c r="I336" s="18" t="s">
        <v>671</v>
      </c>
      <c r="J336" s="8" t="s">
        <v>1090</v>
      </c>
      <c r="K336" s="8" t="s">
        <v>3907</v>
      </c>
      <c r="L336" s="283"/>
      <c r="M336" s="8"/>
      <c r="N336" s="8"/>
      <c r="O336" s="281"/>
      <c r="P336" s="8"/>
      <c r="Q336" s="132"/>
      <c r="R336" s="38"/>
      <c r="S336" s="8"/>
      <c r="T336" s="8"/>
      <c r="U336" s="8"/>
      <c r="V336" s="8"/>
      <c r="W336" s="8"/>
      <c r="X336" s="8"/>
      <c r="Y336" s="8"/>
      <c r="Z336" s="8"/>
      <c r="AA336" s="8"/>
    </row>
    <row r="337" spans="1:51" ht="49.9" customHeight="1">
      <c r="A337" s="8" t="s">
        <v>22</v>
      </c>
      <c r="B337" s="31" t="s">
        <v>195</v>
      </c>
      <c r="C337" s="18" t="s">
        <v>957</v>
      </c>
      <c r="D337" s="18" t="s">
        <v>961</v>
      </c>
      <c r="E337" s="18" t="s">
        <v>962</v>
      </c>
      <c r="F337" s="8" t="s">
        <v>3743</v>
      </c>
      <c r="G337" s="18" t="s">
        <v>62</v>
      </c>
      <c r="H337" s="18" t="s">
        <v>259</v>
      </c>
      <c r="I337" s="18" t="s">
        <v>255</v>
      </c>
      <c r="J337" s="8" t="s">
        <v>1191</v>
      </c>
      <c r="K337" s="8" t="s">
        <v>3906</v>
      </c>
      <c r="L337" s="283"/>
      <c r="M337" s="8" t="s">
        <v>11</v>
      </c>
      <c r="N337" s="8"/>
      <c r="O337" s="281"/>
      <c r="P337" s="8"/>
      <c r="Q337" s="132"/>
      <c r="R337" s="38"/>
      <c r="S337" s="8"/>
      <c r="T337" s="8"/>
      <c r="U337" s="8"/>
      <c r="V337" s="8"/>
      <c r="W337" s="8"/>
      <c r="X337" s="8"/>
      <c r="Y337" s="8"/>
      <c r="Z337" s="8"/>
      <c r="AA337" s="8"/>
    </row>
    <row r="338" spans="1:51" ht="48.6" customHeight="1">
      <c r="A338" s="8" t="s">
        <v>22</v>
      </c>
      <c r="B338" s="31" t="s">
        <v>195</v>
      </c>
      <c r="C338" s="18" t="s">
        <v>957</v>
      </c>
      <c r="D338" s="18" t="s">
        <v>963</v>
      </c>
      <c r="E338" s="18" t="s">
        <v>964</v>
      </c>
      <c r="F338" s="8" t="s">
        <v>3743</v>
      </c>
      <c r="G338" s="18" t="s">
        <v>62</v>
      </c>
      <c r="H338" s="18" t="s">
        <v>266</v>
      </c>
      <c r="I338" s="18" t="s">
        <v>210</v>
      </c>
      <c r="J338" s="8" t="s">
        <v>1191</v>
      </c>
      <c r="K338" s="8" t="s">
        <v>3908</v>
      </c>
      <c r="L338" s="283"/>
      <c r="M338" s="8" t="s">
        <v>11</v>
      </c>
      <c r="N338" s="8"/>
      <c r="O338" s="281"/>
      <c r="P338" s="8"/>
      <c r="Q338" s="132"/>
      <c r="R338" s="38"/>
      <c r="S338" s="8"/>
      <c r="T338" s="8"/>
      <c r="U338" s="8"/>
      <c r="V338" s="8"/>
      <c r="W338" s="8"/>
      <c r="X338" s="8"/>
      <c r="Y338" s="8"/>
      <c r="Z338" s="8"/>
      <c r="AA338" s="8"/>
    </row>
    <row r="339" spans="1:51" ht="157.5">
      <c r="A339" s="8" t="s">
        <v>22</v>
      </c>
      <c r="B339" s="31" t="s">
        <v>195</v>
      </c>
      <c r="C339" s="18" t="s">
        <v>957</v>
      </c>
      <c r="D339" s="18" t="s">
        <v>965</v>
      </c>
      <c r="E339" s="18" t="s">
        <v>966</v>
      </c>
      <c r="F339" s="8" t="s">
        <v>3743</v>
      </c>
      <c r="G339" s="18" t="s">
        <v>62</v>
      </c>
      <c r="H339" s="18" t="s">
        <v>967</v>
      </c>
      <c r="I339" s="18" t="s">
        <v>968</v>
      </c>
      <c r="J339" s="8" t="s">
        <v>1191</v>
      </c>
      <c r="K339" s="8" t="s">
        <v>3908</v>
      </c>
      <c r="L339" s="283"/>
      <c r="M339" s="8" t="s">
        <v>11</v>
      </c>
      <c r="N339" s="8"/>
      <c r="O339" s="281"/>
      <c r="P339" s="8"/>
      <c r="Q339" s="132"/>
      <c r="R339" s="38"/>
      <c r="S339" s="8"/>
      <c r="T339" s="8"/>
      <c r="U339" s="8"/>
      <c r="V339" s="8"/>
      <c r="W339" s="8"/>
      <c r="X339" s="8"/>
      <c r="Y339" s="8"/>
      <c r="Z339" s="8"/>
      <c r="AA339" s="8"/>
    </row>
    <row r="340" spans="1:51" ht="45.6" customHeight="1">
      <c r="A340" s="8" t="s">
        <v>22</v>
      </c>
      <c r="B340" s="31" t="s">
        <v>195</v>
      </c>
      <c r="C340" s="18" t="s">
        <v>957</v>
      </c>
      <c r="D340" s="18" t="s">
        <v>969</v>
      </c>
      <c r="E340" s="18" t="s">
        <v>970</v>
      </c>
      <c r="F340" s="8" t="s">
        <v>3775</v>
      </c>
      <c r="G340" s="18" t="s">
        <v>62</v>
      </c>
      <c r="H340" s="18" t="s">
        <v>273</v>
      </c>
      <c r="I340" s="18" t="s">
        <v>135</v>
      </c>
      <c r="J340" s="8" t="s">
        <v>1090</v>
      </c>
      <c r="K340" s="8" t="s">
        <v>3879</v>
      </c>
      <c r="L340" s="283"/>
      <c r="M340" s="8"/>
      <c r="N340" s="8"/>
      <c r="O340" s="281"/>
      <c r="P340" s="8"/>
      <c r="Q340" s="132"/>
      <c r="R340" s="38"/>
      <c r="S340" s="8"/>
      <c r="T340" s="8"/>
      <c r="U340" s="8"/>
      <c r="V340" s="8"/>
      <c r="W340" s="8"/>
      <c r="X340" s="8"/>
      <c r="Y340" s="8"/>
      <c r="Z340" s="8"/>
      <c r="AA340" s="8"/>
    </row>
    <row r="341" spans="1:51" ht="69" customHeight="1">
      <c r="A341" s="8" t="s">
        <v>22</v>
      </c>
      <c r="B341" s="31" t="s">
        <v>274</v>
      </c>
      <c r="C341" s="18" t="s">
        <v>971</v>
      </c>
      <c r="D341" s="18" t="s">
        <v>972</v>
      </c>
      <c r="E341" s="18" t="s">
        <v>973</v>
      </c>
      <c r="F341" s="8" t="s">
        <v>3708</v>
      </c>
      <c r="G341" s="18" t="s">
        <v>62</v>
      </c>
      <c r="H341" s="18" t="s">
        <v>974</v>
      </c>
      <c r="I341" s="23">
        <v>1</v>
      </c>
      <c r="J341" s="8" t="s">
        <v>1090</v>
      </c>
      <c r="K341" s="8" t="s">
        <v>3909</v>
      </c>
      <c r="L341" s="283"/>
      <c r="M341" s="8"/>
      <c r="N341" s="8"/>
      <c r="O341" s="281"/>
      <c r="P341" s="8"/>
      <c r="Q341" s="132"/>
      <c r="R341" s="38"/>
      <c r="S341" s="8"/>
      <c r="T341" s="8"/>
      <c r="U341" s="8"/>
      <c r="V341" s="8"/>
      <c r="W341" s="8"/>
      <c r="X341" s="8"/>
      <c r="Y341" s="8"/>
      <c r="Z341" s="8"/>
      <c r="AA341" s="8"/>
    </row>
    <row r="342" spans="1:51" s="5" customFormat="1" ht="78.75" hidden="1">
      <c r="A342" s="20" t="s">
        <v>22</v>
      </c>
      <c r="B342" s="32" t="s">
        <v>274</v>
      </c>
      <c r="C342" s="24" t="s">
        <v>975</v>
      </c>
      <c r="D342" s="24" t="s">
        <v>582</v>
      </c>
      <c r="E342" s="24" t="s">
        <v>582</v>
      </c>
      <c r="F342" s="24" t="s">
        <v>582</v>
      </c>
      <c r="G342" s="24" t="s">
        <v>582</v>
      </c>
      <c r="H342" s="24" t="s">
        <v>582</v>
      </c>
      <c r="I342" s="24" t="s">
        <v>582</v>
      </c>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t="s">
        <v>582</v>
      </c>
      <c r="E343" s="24" t="s">
        <v>582</v>
      </c>
      <c r="F343" s="24" t="s">
        <v>582</v>
      </c>
      <c r="G343" s="24" t="s">
        <v>582</v>
      </c>
      <c r="H343" s="24" t="s">
        <v>582</v>
      </c>
      <c r="I343" s="24" t="s">
        <v>582</v>
      </c>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141.75">
      <c r="A344" s="8" t="s">
        <v>22</v>
      </c>
      <c r="B344" s="31" t="s">
        <v>274</v>
      </c>
      <c r="C344" s="18" t="s">
        <v>977</v>
      </c>
      <c r="D344" s="18" t="s">
        <v>978</v>
      </c>
      <c r="E344" s="18" t="s">
        <v>979</v>
      </c>
      <c r="F344" s="8" t="s">
        <v>3708</v>
      </c>
      <c r="G344" s="18" t="s">
        <v>62</v>
      </c>
      <c r="H344" s="18" t="s">
        <v>980</v>
      </c>
      <c r="I344" s="23">
        <v>0.8</v>
      </c>
      <c r="J344" s="8" t="s">
        <v>1090</v>
      </c>
      <c r="K344" s="8" t="s">
        <v>3910</v>
      </c>
      <c r="L344" s="283"/>
      <c r="M344" s="8"/>
      <c r="N344" s="8"/>
      <c r="O344" s="281"/>
      <c r="P344" s="8"/>
      <c r="Q344" s="132"/>
      <c r="R344" s="38"/>
      <c r="S344" s="8"/>
      <c r="T344" s="8"/>
      <c r="U344" s="8"/>
      <c r="V344" s="8"/>
      <c r="W344" s="8"/>
      <c r="X344" s="8"/>
      <c r="Y344" s="8"/>
      <c r="Z344" s="8"/>
      <c r="AA344" s="8"/>
    </row>
    <row r="345" spans="1:51" ht="141.75">
      <c r="A345" s="8" t="s">
        <v>22</v>
      </c>
      <c r="B345" s="31" t="s">
        <v>274</v>
      </c>
      <c r="C345" s="18" t="s">
        <v>977</v>
      </c>
      <c r="D345" s="18" t="s">
        <v>981</v>
      </c>
      <c r="E345" s="18" t="s">
        <v>982</v>
      </c>
      <c r="F345" s="8" t="s">
        <v>3708</v>
      </c>
      <c r="G345" s="18" t="s">
        <v>62</v>
      </c>
      <c r="H345" s="18" t="s">
        <v>983</v>
      </c>
      <c r="I345" s="18" t="s">
        <v>110</v>
      </c>
      <c r="J345" s="8" t="s">
        <v>1191</v>
      </c>
      <c r="K345" s="8"/>
      <c r="L345" s="283"/>
      <c r="M345" s="8"/>
      <c r="N345" s="8"/>
      <c r="O345" s="281"/>
      <c r="P345" s="8"/>
      <c r="Q345" s="132"/>
      <c r="R345" s="38"/>
      <c r="S345" s="8"/>
      <c r="T345" s="8"/>
      <c r="U345" s="8"/>
      <c r="V345" s="8"/>
      <c r="W345" s="8"/>
      <c r="X345" s="8"/>
      <c r="Y345" s="8"/>
      <c r="Z345" s="8"/>
      <c r="AA345" s="8"/>
    </row>
    <row r="346" spans="1:51" ht="78.75">
      <c r="A346" s="8" t="s">
        <v>22</v>
      </c>
      <c r="B346" s="31" t="s">
        <v>587</v>
      </c>
      <c r="C346" s="18" t="s">
        <v>984</v>
      </c>
      <c r="D346" s="18" t="s">
        <v>985</v>
      </c>
      <c r="E346" s="18" t="s">
        <v>986</v>
      </c>
      <c r="F346" s="20"/>
      <c r="G346" s="24" t="s">
        <v>62</v>
      </c>
      <c r="H346" s="24" t="s">
        <v>591</v>
      </c>
      <c r="I346" s="25">
        <v>1</v>
      </c>
      <c r="J346" s="20"/>
      <c r="K346" s="20"/>
      <c r="L346" s="278"/>
      <c r="M346" s="20"/>
      <c r="N346" s="20"/>
      <c r="O346" s="279"/>
      <c r="P346" s="20"/>
      <c r="Q346" s="132"/>
      <c r="R346" s="39"/>
      <c r="S346" s="20"/>
      <c r="T346" s="20"/>
      <c r="U346" s="20"/>
      <c r="V346" s="20"/>
      <c r="W346" s="20"/>
      <c r="X346" s="20"/>
      <c r="Y346" s="20"/>
      <c r="Z346" s="20"/>
      <c r="AA346" s="20"/>
    </row>
    <row r="347" spans="1:51" ht="94.5">
      <c r="A347" s="8" t="s">
        <v>22</v>
      </c>
      <c r="B347" s="31" t="s">
        <v>587</v>
      </c>
      <c r="C347" s="18" t="s">
        <v>984</v>
      </c>
      <c r="D347" s="18" t="s">
        <v>987</v>
      </c>
      <c r="E347" s="69" t="s">
        <v>988</v>
      </c>
      <c r="F347" s="8" t="s">
        <v>3710</v>
      </c>
      <c r="G347" s="18" t="s">
        <v>62</v>
      </c>
      <c r="H347" s="18" t="s">
        <v>591</v>
      </c>
      <c r="I347" s="23">
        <v>1</v>
      </c>
      <c r="J347" s="8" t="s">
        <v>1090</v>
      </c>
      <c r="K347" s="8" t="s">
        <v>3911</v>
      </c>
      <c r="L347" s="283"/>
      <c r="M347" s="8"/>
      <c r="N347" s="8"/>
      <c r="O347" s="281"/>
      <c r="P347" s="8"/>
      <c r="Q347" s="132"/>
      <c r="R347" s="38"/>
      <c r="S347" s="8"/>
      <c r="T347" s="8"/>
      <c r="U347" s="8"/>
      <c r="V347" s="8"/>
      <c r="W347" s="8"/>
      <c r="X347" s="8"/>
      <c r="Y347" s="8"/>
      <c r="Z347" s="8"/>
      <c r="AA347" s="8"/>
    </row>
    <row r="348" spans="1:51" ht="94.5">
      <c r="A348" s="8" t="s">
        <v>22</v>
      </c>
      <c r="B348" s="31" t="s">
        <v>587</v>
      </c>
      <c r="C348" s="18" t="s">
        <v>984</v>
      </c>
      <c r="D348" s="18" t="s">
        <v>989</v>
      </c>
      <c r="E348" s="69" t="s">
        <v>990</v>
      </c>
      <c r="F348" s="8" t="s">
        <v>3710</v>
      </c>
      <c r="G348" s="18" t="s">
        <v>62</v>
      </c>
      <c r="H348" s="18" t="s">
        <v>591</v>
      </c>
      <c r="I348" s="23">
        <v>1</v>
      </c>
      <c r="J348" s="8" t="s">
        <v>1090</v>
      </c>
      <c r="K348" s="8" t="s">
        <v>3912</v>
      </c>
      <c r="L348" s="283"/>
      <c r="M348" s="8"/>
      <c r="N348" s="8"/>
      <c r="O348" s="281"/>
      <c r="P348" s="8"/>
      <c r="Q348" s="132"/>
      <c r="R348" s="38"/>
      <c r="S348" s="8"/>
      <c r="T348" s="8"/>
      <c r="U348" s="8"/>
      <c r="V348" s="8"/>
      <c r="W348" s="8"/>
      <c r="X348" s="8"/>
      <c r="Y348" s="8"/>
      <c r="Z348" s="8"/>
      <c r="AA348" s="8"/>
    </row>
    <row r="349" spans="1:51" ht="157.5">
      <c r="A349" s="8" t="s">
        <v>22</v>
      </c>
      <c r="B349" s="31" t="s">
        <v>587</v>
      </c>
      <c r="C349" s="18" t="s">
        <v>984</v>
      </c>
      <c r="D349" s="18" t="s">
        <v>991</v>
      </c>
      <c r="E349" s="69" t="s">
        <v>992</v>
      </c>
      <c r="F349" s="8" t="s">
        <v>3710</v>
      </c>
      <c r="G349" s="18" t="s">
        <v>62</v>
      </c>
      <c r="H349" s="18" t="s">
        <v>591</v>
      </c>
      <c r="I349" s="23">
        <v>1</v>
      </c>
      <c r="J349" s="8" t="s">
        <v>1090</v>
      </c>
      <c r="K349" s="8" t="s">
        <v>3913</v>
      </c>
      <c r="L349" s="283"/>
      <c r="M349" s="8"/>
      <c r="N349" s="8"/>
      <c r="O349" s="281"/>
      <c r="P349" s="8"/>
      <c r="Q349" s="132"/>
      <c r="R349" s="38"/>
      <c r="S349" s="8"/>
      <c r="T349" s="8"/>
      <c r="U349" s="8"/>
      <c r="V349" s="8"/>
      <c r="W349" s="8"/>
      <c r="X349" s="8"/>
      <c r="Y349" s="8"/>
      <c r="Z349" s="8"/>
      <c r="AA349" s="8"/>
    </row>
    <row r="350" spans="1:51" ht="94.5">
      <c r="A350" s="8" t="s">
        <v>22</v>
      </c>
      <c r="B350" s="31" t="s">
        <v>587</v>
      </c>
      <c r="C350" s="18" t="s">
        <v>984</v>
      </c>
      <c r="D350" s="18" t="s">
        <v>993</v>
      </c>
      <c r="E350" s="69" t="s">
        <v>994</v>
      </c>
      <c r="F350" s="8" t="s">
        <v>3710</v>
      </c>
      <c r="G350" s="18" t="s">
        <v>62</v>
      </c>
      <c r="H350" s="18" t="s">
        <v>591</v>
      </c>
      <c r="I350" s="23">
        <v>1</v>
      </c>
      <c r="J350" s="8" t="s">
        <v>1191</v>
      </c>
      <c r="K350" s="8" t="s">
        <v>3914</v>
      </c>
      <c r="L350" s="283"/>
      <c r="M350" s="8" t="s">
        <v>9</v>
      </c>
      <c r="N350" s="8"/>
      <c r="O350" s="281"/>
      <c r="P350" s="8"/>
      <c r="Q350" s="132"/>
      <c r="R350" s="38"/>
      <c r="S350" s="8"/>
      <c r="T350" s="8"/>
      <c r="U350" s="8"/>
      <c r="V350" s="8"/>
      <c r="W350" s="8"/>
      <c r="X350" s="8"/>
      <c r="Y350" s="8"/>
      <c r="Z350" s="8"/>
      <c r="AA350" s="8"/>
    </row>
    <row r="351" spans="1:51" ht="157.5">
      <c r="A351" s="8" t="s">
        <v>22</v>
      </c>
      <c r="B351" s="31" t="s">
        <v>587</v>
      </c>
      <c r="C351" s="18" t="s">
        <v>984</v>
      </c>
      <c r="D351" s="18" t="s">
        <v>995</v>
      </c>
      <c r="E351" s="69" t="s">
        <v>996</v>
      </c>
      <c r="F351" s="8" t="s">
        <v>3708</v>
      </c>
      <c r="G351" s="18" t="s">
        <v>62</v>
      </c>
      <c r="H351" s="18" t="s">
        <v>591</v>
      </c>
      <c r="I351" s="23">
        <v>1</v>
      </c>
      <c r="J351" s="8" t="s">
        <v>1090</v>
      </c>
      <c r="K351" s="8" t="s">
        <v>3915</v>
      </c>
      <c r="L351" s="283"/>
      <c r="M351" s="8"/>
      <c r="N351" s="8"/>
      <c r="O351" s="281"/>
      <c r="P351" s="8"/>
      <c r="Q351" s="132"/>
      <c r="R351" s="38"/>
      <c r="S351" s="8"/>
      <c r="T351" s="8"/>
      <c r="U351" s="8"/>
      <c r="V351" s="8"/>
      <c r="W351" s="8"/>
      <c r="X351" s="8"/>
      <c r="Y351" s="8"/>
      <c r="Z351" s="8"/>
      <c r="AA351" s="8"/>
    </row>
    <row r="352" spans="1:51" ht="141.75">
      <c r="A352" s="8" t="s">
        <v>22</v>
      </c>
      <c r="B352" s="31" t="s">
        <v>587</v>
      </c>
      <c r="C352" s="18" t="s">
        <v>984</v>
      </c>
      <c r="D352" s="18" t="s">
        <v>997</v>
      </c>
      <c r="E352" s="69" t="s">
        <v>998</v>
      </c>
      <c r="F352" s="8" t="s">
        <v>3710</v>
      </c>
      <c r="G352" s="18" t="s">
        <v>62</v>
      </c>
      <c r="H352" s="18" t="s">
        <v>591</v>
      </c>
      <c r="I352" s="23">
        <v>1</v>
      </c>
      <c r="J352" s="8" t="s">
        <v>1090</v>
      </c>
      <c r="K352" s="8" t="s">
        <v>3916</v>
      </c>
      <c r="L352" s="283"/>
      <c r="M352" s="8"/>
      <c r="N352" s="8"/>
      <c r="O352" s="281"/>
      <c r="P352" s="8"/>
      <c r="Q352" s="132"/>
      <c r="R352" s="38"/>
      <c r="S352" s="8"/>
      <c r="T352" s="8"/>
      <c r="U352" s="8"/>
      <c r="V352" s="8"/>
      <c r="W352" s="8"/>
      <c r="X352" s="8"/>
      <c r="Y352" s="8"/>
      <c r="Z352" s="8"/>
      <c r="AA352" s="8"/>
    </row>
    <row r="353" spans="1:27" ht="173.25">
      <c r="A353" s="8" t="s">
        <v>22</v>
      </c>
      <c r="B353" s="31" t="s">
        <v>587</v>
      </c>
      <c r="C353" s="18" t="s">
        <v>984</v>
      </c>
      <c r="D353" s="18" t="s">
        <v>999</v>
      </c>
      <c r="E353" s="69" t="s">
        <v>1000</v>
      </c>
      <c r="F353" s="8" t="s">
        <v>3710</v>
      </c>
      <c r="G353" s="18" t="s">
        <v>62</v>
      </c>
      <c r="H353" s="18" t="s">
        <v>591</v>
      </c>
      <c r="I353" s="23">
        <v>1</v>
      </c>
      <c r="J353" s="8" t="s">
        <v>1191</v>
      </c>
      <c r="K353" s="8" t="s">
        <v>3917</v>
      </c>
      <c r="L353" s="283"/>
      <c r="M353" s="8" t="s">
        <v>11</v>
      </c>
      <c r="N353" s="8"/>
      <c r="O353" s="281"/>
      <c r="P353" s="8"/>
      <c r="Q353" s="132"/>
      <c r="R353" s="38"/>
      <c r="S353" s="8"/>
      <c r="T353" s="8"/>
      <c r="U353" s="8"/>
      <c r="V353" s="8"/>
      <c r="W353" s="8"/>
      <c r="X353" s="8"/>
      <c r="Y353" s="8"/>
      <c r="Z353" s="8"/>
      <c r="AA353" s="8"/>
    </row>
    <row r="354" spans="1:27" ht="94.5">
      <c r="A354" s="8" t="s">
        <v>22</v>
      </c>
      <c r="B354" s="31" t="s">
        <v>587</v>
      </c>
      <c r="C354" s="18" t="s">
        <v>984</v>
      </c>
      <c r="D354" s="18" t="s">
        <v>1001</v>
      </c>
      <c r="E354" s="69" t="s">
        <v>1002</v>
      </c>
      <c r="F354" s="8" t="s">
        <v>3710</v>
      </c>
      <c r="G354" s="18" t="s">
        <v>62</v>
      </c>
      <c r="H354" s="18" t="s">
        <v>591</v>
      </c>
      <c r="I354" s="23">
        <v>1</v>
      </c>
      <c r="J354" s="8" t="s">
        <v>1090</v>
      </c>
      <c r="K354" s="8" t="s">
        <v>3918</v>
      </c>
      <c r="L354" s="283"/>
      <c r="M354" s="8"/>
      <c r="N354" s="8"/>
      <c r="O354" s="281"/>
      <c r="P354" s="8"/>
      <c r="Q354" s="132"/>
      <c r="R354" s="38"/>
      <c r="S354" s="8"/>
      <c r="T354" s="8"/>
      <c r="U354" s="8"/>
      <c r="V354" s="8"/>
      <c r="W354" s="8"/>
      <c r="X354" s="8"/>
      <c r="Y354" s="8"/>
      <c r="Z354" s="8"/>
      <c r="AA354" s="8"/>
    </row>
    <row r="355" spans="1:27" ht="94.5">
      <c r="A355" s="8" t="s">
        <v>22</v>
      </c>
      <c r="B355" s="31" t="s">
        <v>587</v>
      </c>
      <c r="C355" s="18" t="s">
        <v>984</v>
      </c>
      <c r="D355" s="18" t="s">
        <v>1003</v>
      </c>
      <c r="E355" s="69" t="s">
        <v>1004</v>
      </c>
      <c r="F355" s="8" t="s">
        <v>3710</v>
      </c>
      <c r="G355" s="18" t="s">
        <v>62</v>
      </c>
      <c r="H355" s="18" t="s">
        <v>591</v>
      </c>
      <c r="I355" s="23">
        <v>1</v>
      </c>
      <c r="J355" s="8" t="s">
        <v>8</v>
      </c>
      <c r="K355" s="8"/>
      <c r="L355" s="283"/>
      <c r="M355" s="8"/>
      <c r="N355" s="8"/>
      <c r="O355" s="281"/>
      <c r="P355" s="8"/>
      <c r="Q355" s="132"/>
      <c r="R355" s="38"/>
      <c r="S355" s="8"/>
      <c r="T355" s="8"/>
      <c r="U355" s="8"/>
      <c r="V355" s="8"/>
      <c r="W355" s="8"/>
      <c r="X355" s="8"/>
      <c r="Y355" s="8"/>
      <c r="Z355" s="8"/>
      <c r="AA355" s="8"/>
    </row>
    <row r="356" spans="1:27" ht="141.75">
      <c r="A356" s="8" t="s">
        <v>22</v>
      </c>
      <c r="B356" s="31" t="s">
        <v>587</v>
      </c>
      <c r="C356" s="18" t="s">
        <v>984</v>
      </c>
      <c r="D356" s="18" t="s">
        <v>1005</v>
      </c>
      <c r="E356" s="69" t="s">
        <v>1006</v>
      </c>
      <c r="F356" s="8" t="s">
        <v>3710</v>
      </c>
      <c r="G356" s="18" t="s">
        <v>62</v>
      </c>
      <c r="H356" s="18" t="s">
        <v>591</v>
      </c>
      <c r="I356" s="23">
        <v>1</v>
      </c>
      <c r="J356" s="8" t="s">
        <v>1090</v>
      </c>
      <c r="K356" s="8" t="s">
        <v>3919</v>
      </c>
      <c r="L356" s="283"/>
      <c r="M356" s="8"/>
      <c r="N356" s="8"/>
      <c r="O356" s="281"/>
      <c r="P356" s="8"/>
      <c r="Q356" s="132"/>
      <c r="R356" s="38"/>
      <c r="S356" s="8"/>
      <c r="T356" s="8"/>
      <c r="U356" s="8"/>
      <c r="V356" s="8"/>
      <c r="W356" s="8"/>
      <c r="X356" s="8"/>
      <c r="Y356" s="8"/>
      <c r="Z356" s="8"/>
      <c r="AA356" s="8"/>
    </row>
    <row r="357" spans="1:27" ht="189">
      <c r="A357" s="8" t="s">
        <v>22</v>
      </c>
      <c r="B357" s="31" t="s">
        <v>587</v>
      </c>
      <c r="C357" s="18" t="s">
        <v>984</v>
      </c>
      <c r="D357" s="18" t="s">
        <v>1007</v>
      </c>
      <c r="E357" s="69" t="s">
        <v>1008</v>
      </c>
      <c r="F357" s="8" t="s">
        <v>3710</v>
      </c>
      <c r="G357" s="18" t="s">
        <v>62</v>
      </c>
      <c r="H357" s="18" t="s">
        <v>591</v>
      </c>
      <c r="I357" s="23">
        <v>1</v>
      </c>
      <c r="J357" s="8" t="s">
        <v>1090</v>
      </c>
      <c r="K357" s="8" t="s">
        <v>3920</v>
      </c>
      <c r="L357" s="283"/>
      <c r="M357" s="8"/>
      <c r="N357" s="8"/>
      <c r="O357" s="281"/>
      <c r="P357" s="8"/>
      <c r="Q357" s="132"/>
      <c r="R357" s="38"/>
      <c r="S357" s="8"/>
      <c r="T357" s="8"/>
      <c r="U357" s="8"/>
      <c r="V357" s="8"/>
      <c r="W357" s="8"/>
      <c r="X357" s="8"/>
      <c r="Y357" s="8"/>
      <c r="Z357" s="8"/>
      <c r="AA357" s="8"/>
    </row>
    <row r="358" spans="1:27" ht="173.25">
      <c r="A358" s="8" t="s">
        <v>22</v>
      </c>
      <c r="B358" s="31" t="s">
        <v>587</v>
      </c>
      <c r="C358" s="18" t="s">
        <v>984</v>
      </c>
      <c r="D358" s="18" t="s">
        <v>1009</v>
      </c>
      <c r="E358" s="69" t="s">
        <v>1010</v>
      </c>
      <c r="F358" s="8" t="s">
        <v>3710</v>
      </c>
      <c r="G358" s="18" t="s">
        <v>62</v>
      </c>
      <c r="H358" s="18" t="s">
        <v>591</v>
      </c>
      <c r="I358" s="23">
        <v>1</v>
      </c>
      <c r="J358" s="8" t="s">
        <v>1090</v>
      </c>
      <c r="K358" s="8" t="s">
        <v>3921</v>
      </c>
      <c r="L358" s="283"/>
      <c r="M358" s="8"/>
      <c r="N358" s="8"/>
      <c r="O358" s="281"/>
      <c r="P358" s="8"/>
      <c r="Q358" s="132"/>
      <c r="R358" s="38"/>
      <c r="S358" s="8"/>
      <c r="T358" s="8"/>
      <c r="U358" s="8"/>
      <c r="V358" s="8"/>
      <c r="W358" s="8"/>
      <c r="X358" s="8"/>
      <c r="Y358" s="8"/>
      <c r="Z358" s="8"/>
      <c r="AA358" s="8"/>
    </row>
    <row r="359" spans="1:27" ht="94.5">
      <c r="A359" s="8" t="s">
        <v>22</v>
      </c>
      <c r="B359" s="31" t="s">
        <v>587</v>
      </c>
      <c r="C359" s="18" t="s">
        <v>984</v>
      </c>
      <c r="D359" s="18" t="s">
        <v>1011</v>
      </c>
      <c r="E359" s="69" t="s">
        <v>1012</v>
      </c>
      <c r="F359" s="8" t="s">
        <v>3710</v>
      </c>
      <c r="G359" s="18" t="s">
        <v>62</v>
      </c>
      <c r="H359" s="18" t="s">
        <v>591</v>
      </c>
      <c r="I359" s="23">
        <v>1</v>
      </c>
      <c r="J359" s="8" t="s">
        <v>1090</v>
      </c>
      <c r="K359" s="8" t="s">
        <v>3922</v>
      </c>
      <c r="L359" s="283"/>
      <c r="M359" s="8"/>
      <c r="N359" s="8"/>
      <c r="O359" s="281"/>
      <c r="P359" s="8"/>
      <c r="Q359" s="132"/>
      <c r="R359" s="38"/>
      <c r="S359" s="8"/>
      <c r="T359" s="8"/>
      <c r="U359" s="8"/>
      <c r="V359" s="8"/>
      <c r="W359" s="8"/>
      <c r="X359" s="8"/>
      <c r="Y359" s="8"/>
      <c r="Z359" s="8"/>
      <c r="AA359" s="8"/>
    </row>
    <row r="360" spans="1:27" ht="94.5">
      <c r="A360" s="8" t="s">
        <v>22</v>
      </c>
      <c r="B360" s="31" t="s">
        <v>587</v>
      </c>
      <c r="C360" s="18" t="s">
        <v>984</v>
      </c>
      <c r="D360" s="18" t="s">
        <v>1013</v>
      </c>
      <c r="E360" s="69" t="s">
        <v>1014</v>
      </c>
      <c r="F360" s="8" t="s">
        <v>3710</v>
      </c>
      <c r="G360" s="18" t="s">
        <v>62</v>
      </c>
      <c r="H360" s="18" t="s">
        <v>591</v>
      </c>
      <c r="I360" s="23">
        <v>1</v>
      </c>
      <c r="J360" s="8" t="s">
        <v>8</v>
      </c>
      <c r="K360" s="8"/>
      <c r="L360" s="283"/>
      <c r="M360" s="8"/>
      <c r="N360" s="8"/>
      <c r="O360" s="281"/>
      <c r="P360" s="8"/>
      <c r="Q360" s="132"/>
      <c r="R360" s="38"/>
      <c r="S360" s="8"/>
      <c r="T360" s="8"/>
      <c r="U360" s="8"/>
      <c r="V360" s="8"/>
      <c r="W360" s="8"/>
      <c r="X360" s="8"/>
      <c r="Y360" s="8"/>
      <c r="Z360" s="8"/>
      <c r="AA360" s="8"/>
    </row>
    <row r="361" spans="1:27" ht="157.5">
      <c r="A361" s="8" t="s">
        <v>22</v>
      </c>
      <c r="B361" s="31" t="s">
        <v>587</v>
      </c>
      <c r="C361" s="18" t="s">
        <v>984</v>
      </c>
      <c r="D361" s="18" t="s">
        <v>1015</v>
      </c>
      <c r="E361" s="69" t="s">
        <v>1016</v>
      </c>
      <c r="F361" s="8" t="s">
        <v>3710</v>
      </c>
      <c r="G361" s="18" t="s">
        <v>62</v>
      </c>
      <c r="H361" s="18" t="s">
        <v>591</v>
      </c>
      <c r="I361" s="23">
        <v>1</v>
      </c>
      <c r="J361" s="8" t="s">
        <v>1090</v>
      </c>
      <c r="K361" s="8" t="s">
        <v>3923</v>
      </c>
      <c r="L361" s="283"/>
      <c r="M361" s="8"/>
      <c r="N361" s="8"/>
      <c r="O361" s="281"/>
      <c r="P361" s="8"/>
      <c r="Q361" s="132"/>
      <c r="R361" s="38"/>
      <c r="S361" s="8"/>
      <c r="T361" s="8"/>
      <c r="U361" s="8"/>
      <c r="V361" s="8"/>
      <c r="W361" s="8"/>
      <c r="X361" s="8"/>
      <c r="Y361" s="8"/>
      <c r="Z361" s="8"/>
      <c r="AA361" s="8"/>
    </row>
    <row r="362" spans="1:27" ht="173.25">
      <c r="A362" s="8" t="s">
        <v>22</v>
      </c>
      <c r="B362" s="31" t="s">
        <v>587</v>
      </c>
      <c r="C362" s="18" t="s">
        <v>984</v>
      </c>
      <c r="D362" s="18" t="s">
        <v>1017</v>
      </c>
      <c r="E362" s="69" t="s">
        <v>1018</v>
      </c>
      <c r="F362" s="8" t="s">
        <v>3710</v>
      </c>
      <c r="G362" s="18" t="s">
        <v>62</v>
      </c>
      <c r="H362" s="18" t="s">
        <v>591</v>
      </c>
      <c r="I362" s="23">
        <v>1</v>
      </c>
      <c r="J362" s="8" t="s">
        <v>1090</v>
      </c>
      <c r="K362" s="8" t="s">
        <v>3924</v>
      </c>
      <c r="L362" s="283"/>
      <c r="M362" s="8"/>
      <c r="N362" s="8"/>
      <c r="O362" s="281"/>
      <c r="P362" s="8"/>
      <c r="Q362" s="132"/>
      <c r="R362" s="38"/>
      <c r="S362" s="8"/>
      <c r="T362" s="8"/>
      <c r="U362" s="8"/>
      <c r="V362" s="8"/>
      <c r="W362" s="8"/>
      <c r="X362" s="8"/>
      <c r="Y362" s="8"/>
      <c r="Z362" s="8"/>
      <c r="AA362" s="8"/>
    </row>
    <row r="363" spans="1:27" ht="220.5">
      <c r="A363" s="8" t="s">
        <v>22</v>
      </c>
      <c r="B363" s="31" t="s">
        <v>587</v>
      </c>
      <c r="C363" s="18" t="s">
        <v>984</v>
      </c>
      <c r="D363" s="18" t="s">
        <v>1019</v>
      </c>
      <c r="E363" s="69" t="s">
        <v>1020</v>
      </c>
      <c r="F363" s="8" t="s">
        <v>3710</v>
      </c>
      <c r="G363" s="18" t="s">
        <v>62</v>
      </c>
      <c r="H363" s="18" t="s">
        <v>591</v>
      </c>
      <c r="I363" s="23">
        <v>1</v>
      </c>
      <c r="J363" s="8" t="s">
        <v>1090</v>
      </c>
      <c r="K363" s="8" t="s">
        <v>3925</v>
      </c>
      <c r="L363" s="283"/>
      <c r="M363" s="8"/>
      <c r="N363" s="8"/>
      <c r="O363" s="281"/>
      <c r="P363" s="8"/>
      <c r="Q363" s="132"/>
      <c r="R363" s="38"/>
      <c r="S363" s="8"/>
      <c r="T363" s="8"/>
      <c r="U363" s="8"/>
      <c r="V363" s="8"/>
      <c r="W363" s="8"/>
      <c r="X363" s="8"/>
      <c r="Y363" s="8"/>
      <c r="Z363" s="8"/>
      <c r="AA363" s="8"/>
    </row>
    <row r="364" spans="1:27" ht="157.5">
      <c r="A364" s="8" t="s">
        <v>22</v>
      </c>
      <c r="B364" s="31" t="s">
        <v>587</v>
      </c>
      <c r="C364" s="18" t="s">
        <v>984</v>
      </c>
      <c r="D364" s="18" t="s">
        <v>1021</v>
      </c>
      <c r="E364" s="69" t="s">
        <v>1022</v>
      </c>
      <c r="F364" s="8" t="s">
        <v>3710</v>
      </c>
      <c r="G364" s="18" t="s">
        <v>62</v>
      </c>
      <c r="H364" s="18" t="s">
        <v>591</v>
      </c>
      <c r="I364" s="23">
        <v>1</v>
      </c>
      <c r="J364" s="8" t="s">
        <v>1090</v>
      </c>
      <c r="K364" s="8" t="s">
        <v>3926</v>
      </c>
      <c r="L364" s="283"/>
      <c r="M364" s="8"/>
      <c r="N364" s="8"/>
      <c r="O364" s="281"/>
      <c r="P364" s="8"/>
      <c r="Q364" s="132"/>
      <c r="R364" s="38"/>
      <c r="S364" s="8"/>
      <c r="T364" s="8"/>
      <c r="U364" s="8"/>
      <c r="V364" s="8"/>
      <c r="W364" s="8"/>
      <c r="X364" s="8"/>
      <c r="Y364" s="8"/>
      <c r="Z364" s="8"/>
      <c r="AA364" s="8"/>
    </row>
    <row r="365" spans="1:27" ht="110.25">
      <c r="A365" s="8" t="s">
        <v>22</v>
      </c>
      <c r="B365" s="31" t="s">
        <v>587</v>
      </c>
      <c r="C365" s="18" t="s">
        <v>984</v>
      </c>
      <c r="D365" s="18" t="s">
        <v>1023</v>
      </c>
      <c r="E365" s="69" t="s">
        <v>1024</v>
      </c>
      <c r="F365" s="8" t="s">
        <v>3710</v>
      </c>
      <c r="G365" s="18" t="s">
        <v>62</v>
      </c>
      <c r="H365" s="18" t="s">
        <v>591</v>
      </c>
      <c r="I365" s="23">
        <v>1</v>
      </c>
      <c r="J365" s="8" t="s">
        <v>1191</v>
      </c>
      <c r="K365" s="8" t="s">
        <v>3927</v>
      </c>
      <c r="L365" s="283"/>
      <c r="M365" s="8" t="s">
        <v>9</v>
      </c>
      <c r="N365" s="8"/>
      <c r="O365" s="281"/>
      <c r="P365" s="8"/>
      <c r="Q365" s="132"/>
      <c r="R365" s="38"/>
      <c r="S365" s="8"/>
      <c r="T365" s="8"/>
      <c r="U365" s="8"/>
      <c r="V365" s="8"/>
      <c r="W365" s="8"/>
      <c r="X365" s="8"/>
      <c r="Y365" s="8"/>
      <c r="Z365" s="8"/>
      <c r="AA365" s="8"/>
    </row>
    <row r="366" spans="1:27" ht="94.5">
      <c r="A366" s="8" t="s">
        <v>22</v>
      </c>
      <c r="B366" s="31" t="s">
        <v>587</v>
      </c>
      <c r="C366" s="18" t="s">
        <v>984</v>
      </c>
      <c r="D366" s="18" t="s">
        <v>1025</v>
      </c>
      <c r="E366" s="69" t="s">
        <v>1026</v>
      </c>
      <c r="F366" s="8" t="s">
        <v>3710</v>
      </c>
      <c r="G366" s="18" t="s">
        <v>62</v>
      </c>
      <c r="H366" s="18" t="s">
        <v>591</v>
      </c>
      <c r="I366" s="23">
        <v>1</v>
      </c>
      <c r="J366" s="8" t="s">
        <v>1090</v>
      </c>
      <c r="K366" s="8" t="s">
        <v>3928</v>
      </c>
      <c r="L366" s="283"/>
      <c r="M366" s="8"/>
      <c r="N366" s="8"/>
      <c r="O366" s="281"/>
      <c r="P366" s="8"/>
      <c r="Q366" s="132"/>
      <c r="R366" s="38"/>
      <c r="S366" s="8"/>
      <c r="T366" s="8"/>
      <c r="U366" s="8"/>
      <c r="V366" s="8"/>
      <c r="W366" s="8"/>
      <c r="X366" s="8"/>
      <c r="Y366" s="8"/>
      <c r="Z366" s="8"/>
      <c r="AA366" s="8"/>
    </row>
    <row r="367" spans="1:27" ht="94.5">
      <c r="A367" s="8" t="s">
        <v>22</v>
      </c>
      <c r="B367" s="31" t="s">
        <v>587</v>
      </c>
      <c r="C367" s="18" t="s">
        <v>984</v>
      </c>
      <c r="D367" s="18" t="s">
        <v>1027</v>
      </c>
      <c r="E367" s="69" t="s">
        <v>1028</v>
      </c>
      <c r="F367" s="8" t="s">
        <v>3710</v>
      </c>
      <c r="G367" s="18" t="s">
        <v>62</v>
      </c>
      <c r="H367" s="18" t="s">
        <v>591</v>
      </c>
      <c r="I367" s="23">
        <v>1</v>
      </c>
      <c r="J367" s="8" t="s">
        <v>1090</v>
      </c>
      <c r="K367" s="8" t="s">
        <v>3929</v>
      </c>
      <c r="L367" s="283"/>
      <c r="M367" s="8"/>
      <c r="N367" s="8"/>
      <c r="O367" s="281"/>
      <c r="P367" s="8"/>
      <c r="Q367" s="132"/>
      <c r="R367" s="38"/>
      <c r="S367" s="8"/>
      <c r="T367" s="8"/>
      <c r="U367" s="8"/>
      <c r="V367" s="8"/>
      <c r="W367" s="8"/>
      <c r="X367" s="8"/>
      <c r="Y367" s="8"/>
      <c r="Z367" s="8"/>
      <c r="AA367" s="8"/>
    </row>
    <row r="368" spans="1:27" ht="173.25">
      <c r="A368" s="8" t="s">
        <v>22</v>
      </c>
      <c r="B368" s="31" t="s">
        <v>587</v>
      </c>
      <c r="C368" s="18" t="s">
        <v>984</v>
      </c>
      <c r="D368" s="18" t="s">
        <v>1029</v>
      </c>
      <c r="E368" s="69" t="s">
        <v>1030</v>
      </c>
      <c r="F368" s="8" t="s">
        <v>3710</v>
      </c>
      <c r="G368" s="18" t="s">
        <v>62</v>
      </c>
      <c r="H368" s="18" t="s">
        <v>591</v>
      </c>
      <c r="I368" s="23">
        <v>1</v>
      </c>
      <c r="J368" s="8" t="s">
        <v>1090</v>
      </c>
      <c r="K368" s="8" t="s">
        <v>3930</v>
      </c>
      <c r="L368" s="283"/>
      <c r="M368" s="8"/>
      <c r="N368" s="8"/>
      <c r="O368" s="281"/>
      <c r="P368" s="8"/>
      <c r="Q368" s="132"/>
      <c r="R368" s="38"/>
      <c r="S368" s="8"/>
      <c r="T368" s="8"/>
      <c r="U368" s="8"/>
      <c r="V368" s="8"/>
      <c r="W368" s="8"/>
      <c r="X368" s="8"/>
      <c r="Y368" s="8"/>
      <c r="Z368" s="8"/>
      <c r="AA368" s="8"/>
    </row>
    <row r="369" spans="1:27" ht="173.25">
      <c r="A369" s="8" t="s">
        <v>22</v>
      </c>
      <c r="B369" s="31" t="s">
        <v>587</v>
      </c>
      <c r="C369" s="18" t="s">
        <v>984</v>
      </c>
      <c r="D369" s="18" t="s">
        <v>1031</v>
      </c>
      <c r="E369" s="69" t="s">
        <v>1032</v>
      </c>
      <c r="F369" s="8" t="s">
        <v>3710</v>
      </c>
      <c r="G369" s="18" t="s">
        <v>62</v>
      </c>
      <c r="H369" s="18" t="s">
        <v>591</v>
      </c>
      <c r="I369" s="23">
        <v>1</v>
      </c>
      <c r="J369" s="8" t="s">
        <v>1090</v>
      </c>
      <c r="K369" s="8" t="s">
        <v>3931</v>
      </c>
      <c r="L369" s="283"/>
      <c r="M369" s="8"/>
      <c r="N369" s="8"/>
      <c r="O369" s="281"/>
      <c r="P369" s="8"/>
      <c r="Q369" s="132"/>
      <c r="R369" s="38"/>
      <c r="S369" s="8"/>
      <c r="T369" s="8"/>
      <c r="U369" s="8"/>
      <c r="V369" s="8"/>
      <c r="W369" s="8"/>
      <c r="X369" s="8"/>
      <c r="Y369" s="8"/>
      <c r="Z369" s="8"/>
      <c r="AA369" s="8"/>
    </row>
    <row r="370" spans="1:27" ht="204.75">
      <c r="A370" s="8" t="s">
        <v>22</v>
      </c>
      <c r="B370" s="31" t="s">
        <v>587</v>
      </c>
      <c r="C370" s="18" t="s">
        <v>984</v>
      </c>
      <c r="D370" s="18" t="s">
        <v>1033</v>
      </c>
      <c r="E370" s="69" t="s">
        <v>1034</v>
      </c>
      <c r="F370" s="8" t="s">
        <v>3710</v>
      </c>
      <c r="G370" s="18" t="s">
        <v>62</v>
      </c>
      <c r="H370" s="18" t="s">
        <v>591</v>
      </c>
      <c r="I370" s="23">
        <v>1</v>
      </c>
      <c r="J370" s="8" t="s">
        <v>1090</v>
      </c>
      <c r="K370" s="8" t="s">
        <v>3932</v>
      </c>
      <c r="L370" s="283"/>
      <c r="M370" s="8"/>
      <c r="N370" s="8"/>
      <c r="O370" s="281"/>
      <c r="P370" s="8"/>
      <c r="Q370" s="132"/>
      <c r="R370" s="38"/>
      <c r="S370" s="8"/>
      <c r="T370" s="8"/>
      <c r="U370" s="8"/>
      <c r="V370" s="8"/>
      <c r="W370" s="8"/>
      <c r="X370" s="8"/>
      <c r="Y370" s="8"/>
      <c r="Z370" s="8"/>
      <c r="AA370" s="8"/>
    </row>
    <row r="371" spans="1:27" ht="220.5">
      <c r="A371" s="8" t="s">
        <v>22</v>
      </c>
      <c r="B371" s="31" t="s">
        <v>587</v>
      </c>
      <c r="C371" s="18" t="s">
        <v>984</v>
      </c>
      <c r="D371" s="18" t="s">
        <v>1035</v>
      </c>
      <c r="E371" s="69" t="s">
        <v>1036</v>
      </c>
      <c r="F371" s="8" t="s">
        <v>3710</v>
      </c>
      <c r="G371" s="18" t="s">
        <v>62</v>
      </c>
      <c r="H371" s="18" t="s">
        <v>591</v>
      </c>
      <c r="I371" s="23">
        <v>1</v>
      </c>
      <c r="J371" s="8" t="s">
        <v>1090</v>
      </c>
      <c r="K371" s="8" t="s">
        <v>3933</v>
      </c>
      <c r="L371" s="283"/>
      <c r="M371" s="8"/>
      <c r="N371" s="8"/>
      <c r="O371" s="281"/>
      <c r="P371" s="8"/>
      <c r="Q371" s="132"/>
      <c r="R371" s="38"/>
      <c r="S371" s="8"/>
      <c r="T371" s="8"/>
      <c r="U371" s="8"/>
      <c r="V371" s="8"/>
      <c r="W371" s="8"/>
      <c r="X371" s="8"/>
      <c r="Y371" s="8"/>
      <c r="Z371" s="8"/>
      <c r="AA371" s="8"/>
    </row>
    <row r="372" spans="1:27" ht="94.5">
      <c r="A372" s="8" t="s">
        <v>22</v>
      </c>
      <c r="B372" s="31" t="s">
        <v>587</v>
      </c>
      <c r="C372" s="18" t="s">
        <v>984</v>
      </c>
      <c r="D372" s="18" t="s">
        <v>1037</v>
      </c>
      <c r="E372" s="69" t="s">
        <v>1038</v>
      </c>
      <c r="F372" s="8" t="s">
        <v>3710</v>
      </c>
      <c r="G372" s="18" t="s">
        <v>62</v>
      </c>
      <c r="H372" s="18" t="s">
        <v>591</v>
      </c>
      <c r="I372" s="23">
        <v>1</v>
      </c>
      <c r="J372" s="8" t="s">
        <v>1090</v>
      </c>
      <c r="K372" s="8" t="s">
        <v>3934</v>
      </c>
      <c r="L372" s="283"/>
      <c r="M372" s="8"/>
      <c r="N372" s="8"/>
      <c r="O372" s="281"/>
      <c r="P372" s="8"/>
      <c r="Q372" s="132"/>
      <c r="R372" s="38"/>
      <c r="S372" s="8"/>
      <c r="T372" s="8"/>
      <c r="U372" s="8"/>
      <c r="V372" s="8"/>
      <c r="W372" s="8"/>
      <c r="X372" s="8"/>
      <c r="Y372" s="8"/>
      <c r="Z372" s="8"/>
      <c r="AA372" s="8"/>
    </row>
    <row r="373" spans="1:27" ht="173.25">
      <c r="A373" s="8" t="s">
        <v>22</v>
      </c>
      <c r="B373" s="31" t="s">
        <v>587</v>
      </c>
      <c r="C373" s="18" t="s">
        <v>984</v>
      </c>
      <c r="D373" s="18" t="s">
        <v>1039</v>
      </c>
      <c r="E373" s="69" t="s">
        <v>1040</v>
      </c>
      <c r="F373" s="8" t="s">
        <v>3710</v>
      </c>
      <c r="G373" s="18" t="s">
        <v>62</v>
      </c>
      <c r="H373" s="18" t="s">
        <v>591</v>
      </c>
      <c r="I373" s="23">
        <v>1</v>
      </c>
      <c r="J373" s="8" t="s">
        <v>1090</v>
      </c>
      <c r="K373" s="8" t="s">
        <v>3935</v>
      </c>
      <c r="L373" s="283"/>
      <c r="M373" s="8"/>
      <c r="N373" s="8"/>
      <c r="O373" s="281"/>
      <c r="P373" s="8"/>
      <c r="Q373" s="132"/>
      <c r="R373" s="38"/>
      <c r="S373" s="8"/>
      <c r="T373" s="8"/>
      <c r="U373" s="8"/>
      <c r="V373" s="8"/>
      <c r="W373" s="8"/>
      <c r="X373" s="8"/>
      <c r="Y373" s="8"/>
      <c r="Z373" s="8"/>
      <c r="AA373" s="8"/>
    </row>
    <row r="374" spans="1:27" ht="141.75">
      <c r="A374" s="8" t="s">
        <v>22</v>
      </c>
      <c r="B374" s="31" t="s">
        <v>587</v>
      </c>
      <c r="C374" s="18" t="s">
        <v>984</v>
      </c>
      <c r="D374" s="18" t="s">
        <v>1041</v>
      </c>
      <c r="E374" s="69" t="s">
        <v>1042</v>
      </c>
      <c r="F374" s="8" t="s">
        <v>3708</v>
      </c>
      <c r="G374" s="18" t="s">
        <v>62</v>
      </c>
      <c r="H374" s="18" t="s">
        <v>591</v>
      </c>
      <c r="I374" s="23">
        <v>1</v>
      </c>
      <c r="J374" s="8" t="s">
        <v>1090</v>
      </c>
      <c r="K374" s="8" t="s">
        <v>3936</v>
      </c>
      <c r="L374" s="283"/>
      <c r="M374" s="8"/>
      <c r="N374" s="8"/>
      <c r="O374" s="281"/>
      <c r="P374" s="8"/>
      <c r="Q374" s="132"/>
      <c r="R374" s="38"/>
      <c r="S374" s="8"/>
      <c r="T374" s="8"/>
      <c r="U374" s="8"/>
      <c r="V374" s="8"/>
      <c r="W374" s="8"/>
      <c r="X374" s="8"/>
      <c r="Y374" s="8"/>
      <c r="Z374" s="8"/>
      <c r="AA374" s="8"/>
    </row>
    <row r="375" spans="1:27" ht="141.75">
      <c r="A375" s="8" t="s">
        <v>22</v>
      </c>
      <c r="B375" s="31" t="s">
        <v>587</v>
      </c>
      <c r="C375" s="18" t="s">
        <v>984</v>
      </c>
      <c r="D375" s="18" t="s">
        <v>1043</v>
      </c>
      <c r="E375" s="69" t="s">
        <v>1044</v>
      </c>
      <c r="F375" s="8" t="s">
        <v>3708</v>
      </c>
      <c r="G375" s="18" t="s">
        <v>62</v>
      </c>
      <c r="H375" s="18" t="s">
        <v>591</v>
      </c>
      <c r="I375" s="23">
        <v>1</v>
      </c>
      <c r="J375" s="8" t="s">
        <v>1090</v>
      </c>
      <c r="K375" s="8" t="s">
        <v>3937</v>
      </c>
      <c r="L375" s="283"/>
      <c r="M375" s="8"/>
      <c r="N375" s="8"/>
      <c r="O375" s="281"/>
      <c r="P375" s="8"/>
      <c r="Q375" s="132"/>
      <c r="R375" s="38"/>
      <c r="S375" s="8"/>
      <c r="T375" s="8"/>
      <c r="U375" s="8"/>
      <c r="V375" s="8"/>
      <c r="W375" s="8"/>
      <c r="X375" s="8"/>
      <c r="Y375" s="8"/>
      <c r="Z375" s="8"/>
      <c r="AA375" s="8"/>
    </row>
    <row r="376" spans="1:27" ht="63">
      <c r="A376" s="8" t="s">
        <v>22</v>
      </c>
      <c r="B376" s="31" t="s">
        <v>587</v>
      </c>
      <c r="C376" s="18" t="s">
        <v>1045</v>
      </c>
      <c r="D376" s="18" t="s">
        <v>1046</v>
      </c>
      <c r="E376" s="18" t="s">
        <v>1047</v>
      </c>
      <c r="F376" s="20"/>
      <c r="G376" s="24" t="s">
        <v>62</v>
      </c>
      <c r="H376" s="20"/>
      <c r="I376" s="20"/>
      <c r="J376" s="20"/>
      <c r="K376" s="20"/>
      <c r="L376" s="278"/>
      <c r="M376" s="20"/>
      <c r="N376" s="20"/>
      <c r="O376" s="279"/>
      <c r="P376" s="20"/>
      <c r="Q376" s="132"/>
      <c r="R376" s="39"/>
      <c r="S376" s="20"/>
      <c r="T376" s="20"/>
      <c r="U376" s="20"/>
      <c r="V376" s="20"/>
      <c r="W376" s="20"/>
      <c r="X376" s="20"/>
      <c r="Y376" s="20"/>
      <c r="Z376" s="20"/>
      <c r="AA376" s="8"/>
    </row>
    <row r="377" spans="1:27" ht="78.75">
      <c r="A377" s="8" t="s">
        <v>22</v>
      </c>
      <c r="B377" s="31" t="s">
        <v>587</v>
      </c>
      <c r="C377" s="18" t="s">
        <v>1045</v>
      </c>
      <c r="D377" s="18" t="s">
        <v>1048</v>
      </c>
      <c r="E377" s="69" t="s">
        <v>1049</v>
      </c>
      <c r="F377" s="8" t="s">
        <v>3775</v>
      </c>
      <c r="G377" s="18" t="s">
        <v>62</v>
      </c>
      <c r="H377" s="18" t="s">
        <v>735</v>
      </c>
      <c r="I377" s="23">
        <v>1</v>
      </c>
      <c r="J377" s="8" t="s">
        <v>8</v>
      </c>
      <c r="K377" s="8"/>
      <c r="L377" s="283"/>
      <c r="M377" s="8"/>
      <c r="N377" s="8"/>
      <c r="O377" s="281"/>
      <c r="P377" s="8"/>
      <c r="Q377" s="132"/>
      <c r="R377" s="38"/>
      <c r="S377" s="8"/>
      <c r="T377" s="8"/>
      <c r="U377" s="8"/>
      <c r="V377" s="8"/>
      <c r="W377" s="8"/>
      <c r="X377" s="8"/>
      <c r="Y377" s="8"/>
      <c r="Z377" s="8"/>
      <c r="AA377" s="8"/>
    </row>
    <row r="378" spans="1:27" ht="110.25">
      <c r="A378" s="8" t="s">
        <v>22</v>
      </c>
      <c r="B378" s="31" t="s">
        <v>587</v>
      </c>
      <c r="C378" s="18" t="s">
        <v>1045</v>
      </c>
      <c r="D378" s="18" t="s">
        <v>1050</v>
      </c>
      <c r="E378" s="69" t="s">
        <v>1051</v>
      </c>
      <c r="F378" s="8" t="s">
        <v>3775</v>
      </c>
      <c r="G378" s="18" t="s">
        <v>62</v>
      </c>
      <c r="H378" s="18" t="s">
        <v>428</v>
      </c>
      <c r="I378" s="23">
        <v>0.5</v>
      </c>
      <c r="J378" s="8" t="s">
        <v>1191</v>
      </c>
      <c r="K378" s="8" t="s">
        <v>3938</v>
      </c>
      <c r="L378" s="283"/>
      <c r="M378" s="8" t="s">
        <v>9</v>
      </c>
      <c r="N378" s="8"/>
      <c r="O378" s="281"/>
      <c r="P378" s="8"/>
      <c r="Q378" s="132"/>
      <c r="R378" s="38"/>
      <c r="S378" s="8"/>
      <c r="T378" s="8"/>
      <c r="U378" s="8"/>
      <c r="V378" s="8"/>
      <c r="W378" s="8"/>
      <c r="X378" s="8"/>
      <c r="Y378" s="8"/>
      <c r="Z378" s="8"/>
      <c r="AA378" s="8"/>
    </row>
    <row r="379" spans="1:27" ht="99" customHeight="1">
      <c r="A379" s="8" t="s">
        <v>22</v>
      </c>
      <c r="B379" s="31" t="s">
        <v>587</v>
      </c>
      <c r="C379" s="18" t="s">
        <v>1052</v>
      </c>
      <c r="D379" s="18" t="s">
        <v>1053</v>
      </c>
      <c r="E379" s="18" t="s">
        <v>1054</v>
      </c>
      <c r="F379" s="8" t="s">
        <v>3710</v>
      </c>
      <c r="G379" s="18" t="s">
        <v>58</v>
      </c>
      <c r="H379" s="18" t="s">
        <v>623</v>
      </c>
      <c r="I379" s="23">
        <v>0.5</v>
      </c>
      <c r="J379" s="8" t="s">
        <v>1090</v>
      </c>
      <c r="K379" s="8" t="s">
        <v>3939</v>
      </c>
      <c r="L379" s="283"/>
      <c r="M379" s="8"/>
      <c r="N379" s="8"/>
      <c r="O379" s="281"/>
      <c r="P379" s="8"/>
      <c r="Q379" s="132"/>
      <c r="R379" s="38"/>
      <c r="S379" s="8"/>
      <c r="T379" s="8"/>
      <c r="U379" s="8"/>
      <c r="V379" s="8"/>
      <c r="W379" s="8"/>
      <c r="X379" s="8"/>
      <c r="Y379" s="8"/>
      <c r="Z379" s="8"/>
      <c r="AA379" s="8"/>
    </row>
    <row r="380" spans="1:27" ht="39.6" customHeight="1">
      <c r="A380" s="8" t="s">
        <v>22</v>
      </c>
      <c r="B380" s="31" t="s">
        <v>587</v>
      </c>
      <c r="C380" s="18" t="s">
        <v>1052</v>
      </c>
      <c r="D380" s="18" t="s">
        <v>1055</v>
      </c>
      <c r="E380" s="18" t="s">
        <v>1056</v>
      </c>
      <c r="F380" s="8" t="s">
        <v>3775</v>
      </c>
      <c r="G380" s="18" t="s">
        <v>62</v>
      </c>
      <c r="H380" s="18" t="s">
        <v>1057</v>
      </c>
      <c r="I380" s="18" t="s">
        <v>221</v>
      </c>
      <c r="J380" s="8" t="s">
        <v>1191</v>
      </c>
      <c r="K380" s="8" t="s">
        <v>3940</v>
      </c>
      <c r="L380" s="283"/>
      <c r="M380" s="8" t="s">
        <v>9</v>
      </c>
      <c r="N380" s="8"/>
      <c r="O380" s="281"/>
      <c r="P380" s="8"/>
      <c r="Q380" s="132"/>
      <c r="R380" s="38"/>
      <c r="S380" s="8"/>
      <c r="T380" s="8"/>
      <c r="U380" s="8"/>
      <c r="V380" s="8"/>
      <c r="W380" s="8"/>
      <c r="X380" s="8"/>
      <c r="Y380" s="8"/>
      <c r="Z380" s="8"/>
      <c r="AA380" s="8"/>
    </row>
    <row r="381" spans="1:27" ht="63" customHeight="1">
      <c r="A381" s="8" t="s">
        <v>22</v>
      </c>
      <c r="B381" s="31" t="s">
        <v>587</v>
      </c>
      <c r="C381" s="18" t="s">
        <v>1058</v>
      </c>
      <c r="D381" s="18" t="s">
        <v>1059</v>
      </c>
      <c r="E381" s="18" t="s">
        <v>1060</v>
      </c>
      <c r="F381" s="8" t="s">
        <v>3710</v>
      </c>
      <c r="G381" s="18" t="s">
        <v>62</v>
      </c>
      <c r="H381" s="18" t="s">
        <v>1061</v>
      </c>
      <c r="I381" s="23">
        <v>0.5</v>
      </c>
      <c r="J381" s="8" t="s">
        <v>1191</v>
      </c>
      <c r="K381" s="8" t="s">
        <v>3941</v>
      </c>
      <c r="L381" s="283"/>
      <c r="M381" s="8" t="s">
        <v>10</v>
      </c>
      <c r="N381" s="8"/>
      <c r="O381" s="281"/>
      <c r="P381" s="8"/>
      <c r="Q381" s="132"/>
      <c r="R381" s="38"/>
      <c r="S381" s="8"/>
      <c r="T381" s="8"/>
      <c r="U381" s="8"/>
      <c r="V381" s="8"/>
      <c r="W381" s="8"/>
      <c r="X381" s="8"/>
      <c r="Y381" s="8"/>
      <c r="Z381" s="8"/>
      <c r="AA381" s="8"/>
    </row>
    <row r="382" spans="1:27">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83.5">
      <c r="A383" s="8" t="s">
        <v>24</v>
      </c>
      <c r="B383" s="31" t="s">
        <v>54</v>
      </c>
      <c r="C383" s="18" t="s">
        <v>1063</v>
      </c>
      <c r="D383" s="18" t="s">
        <v>1064</v>
      </c>
      <c r="E383" s="18" t="s">
        <v>1065</v>
      </c>
      <c r="F383" s="8" t="s">
        <v>3708</v>
      </c>
      <c r="G383" s="18" t="s">
        <v>62</v>
      </c>
      <c r="H383" s="18" t="s">
        <v>1066</v>
      </c>
      <c r="I383" s="18" t="s">
        <v>1067</v>
      </c>
      <c r="J383" s="8" t="s">
        <v>1191</v>
      </c>
      <c r="K383" s="8" t="s">
        <v>3942</v>
      </c>
      <c r="L383" s="283"/>
      <c r="M383" s="8"/>
      <c r="N383" s="8"/>
      <c r="O383" s="281"/>
      <c r="P383" s="8"/>
      <c r="Q383" s="132"/>
      <c r="R383" s="38"/>
      <c r="S383" s="8"/>
      <c r="T383" s="8"/>
      <c r="U383" s="8"/>
      <c r="V383" s="8"/>
      <c r="W383" s="8"/>
      <c r="X383" s="8"/>
      <c r="Y383" s="8"/>
      <c r="Z383" s="8"/>
      <c r="AA383" s="8"/>
    </row>
    <row r="384" spans="1:27" ht="283.5">
      <c r="A384" s="8" t="s">
        <v>24</v>
      </c>
      <c r="B384" s="31" t="s">
        <v>54</v>
      </c>
      <c r="C384" s="18" t="s">
        <v>1068</v>
      </c>
      <c r="D384" s="18" t="s">
        <v>1069</v>
      </c>
      <c r="E384" s="18" t="s">
        <v>1070</v>
      </c>
      <c r="F384" s="8" t="s">
        <v>3708</v>
      </c>
      <c r="G384" s="18" t="s">
        <v>62</v>
      </c>
      <c r="H384" s="18" t="s">
        <v>1071</v>
      </c>
      <c r="I384" s="18" t="s">
        <v>1072</v>
      </c>
      <c r="J384" s="8" t="s">
        <v>1191</v>
      </c>
      <c r="K384" s="8" t="s">
        <v>3943</v>
      </c>
      <c r="L384" s="283"/>
      <c r="M384" s="8"/>
      <c r="N384" s="8"/>
      <c r="O384" s="281"/>
      <c r="P384" s="8"/>
      <c r="Q384" s="132"/>
      <c r="R384" s="38"/>
      <c r="S384" s="8"/>
      <c r="T384" s="8"/>
      <c r="U384" s="8"/>
      <c r="V384" s="8"/>
      <c r="W384" s="8"/>
      <c r="X384" s="8"/>
      <c r="Y384" s="8"/>
      <c r="Z384" s="8"/>
      <c r="AA384" s="8"/>
    </row>
    <row r="385" spans="1:51" ht="80.45" customHeight="1">
      <c r="A385" s="8" t="s">
        <v>24</v>
      </c>
      <c r="B385" s="31" t="s">
        <v>54</v>
      </c>
      <c r="C385" s="18" t="s">
        <v>1068</v>
      </c>
      <c r="D385" s="18" t="s">
        <v>1073</v>
      </c>
      <c r="E385" s="18" t="s">
        <v>1074</v>
      </c>
      <c r="F385" s="8" t="s">
        <v>3710</v>
      </c>
      <c r="G385" s="18" t="s">
        <v>62</v>
      </c>
      <c r="H385" s="18" t="s">
        <v>182</v>
      </c>
      <c r="I385" s="23">
        <v>1</v>
      </c>
      <c r="J385" s="8" t="s">
        <v>1191</v>
      </c>
      <c r="K385" s="8"/>
      <c r="L385" s="283"/>
      <c r="M385" s="8"/>
      <c r="N385" s="8"/>
      <c r="O385" s="281"/>
      <c r="P385" s="8"/>
      <c r="Q385" s="132"/>
      <c r="R385" s="38"/>
      <c r="S385" s="8"/>
      <c r="T385" s="8"/>
      <c r="U385" s="8"/>
      <c r="V385" s="8"/>
      <c r="W385" s="8"/>
      <c r="X385" s="8"/>
      <c r="Y385" s="8"/>
      <c r="Z385" s="8"/>
      <c r="AA385" s="8"/>
    </row>
    <row r="386" spans="1:51" s="2" customFormat="1" ht="31.5" hidden="1">
      <c r="A386" s="20" t="s">
        <v>24</v>
      </c>
      <c r="B386" s="32" t="s">
        <v>54</v>
      </c>
      <c r="C386" s="24" t="s">
        <v>1075</v>
      </c>
      <c r="D386" s="19" t="s">
        <v>582</v>
      </c>
      <c r="E386" s="24" t="s">
        <v>582</v>
      </c>
      <c r="F386" s="24" t="s">
        <v>582</v>
      </c>
      <c r="G386" s="19" t="s">
        <v>582</v>
      </c>
      <c r="H386" s="19" t="s">
        <v>582</v>
      </c>
      <c r="I386" s="19" t="s">
        <v>582</v>
      </c>
      <c r="J386" s="19" t="s">
        <v>582</v>
      </c>
      <c r="K386" s="19" t="s">
        <v>582</v>
      </c>
      <c r="L386" s="19" t="s">
        <v>582</v>
      </c>
      <c r="M386" s="19" t="s">
        <v>582</v>
      </c>
      <c r="N386" s="19" t="s">
        <v>582</v>
      </c>
      <c r="O386" s="19" t="s">
        <v>582</v>
      </c>
      <c r="P386" s="19" t="s">
        <v>582</v>
      </c>
      <c r="Q386" s="48"/>
      <c r="R386" s="44" t="s">
        <v>582</v>
      </c>
      <c r="S386" s="19" t="s">
        <v>582</v>
      </c>
      <c r="T386" s="19" t="s">
        <v>582</v>
      </c>
      <c r="U386" s="19"/>
      <c r="V386" s="19" t="s">
        <v>582</v>
      </c>
      <c r="W386" s="19" t="s">
        <v>582</v>
      </c>
      <c r="X386" s="19" t="s">
        <v>582</v>
      </c>
      <c r="Y386" s="19" t="s">
        <v>582</v>
      </c>
      <c r="Z386" s="19" t="s">
        <v>582</v>
      </c>
      <c r="AA386" s="19" t="s">
        <v>582</v>
      </c>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c r="A387" s="8" t="s">
        <v>24</v>
      </c>
      <c r="B387" s="31" t="s">
        <v>195</v>
      </c>
      <c r="C387" s="18" t="s">
        <v>1076</v>
      </c>
      <c r="D387" s="18" t="s">
        <v>1077</v>
      </c>
      <c r="E387" s="18" t="s">
        <v>1078</v>
      </c>
      <c r="F387" s="20"/>
      <c r="G387" s="24" t="s">
        <v>62</v>
      </c>
      <c r="H387" s="24"/>
      <c r="I387" s="25"/>
      <c r="J387" s="20"/>
      <c r="K387" s="20"/>
      <c r="L387" s="278"/>
      <c r="M387" s="20"/>
      <c r="N387" s="20"/>
      <c r="O387" s="279"/>
      <c r="P387" s="20"/>
      <c r="Q387" s="132"/>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customHeight="1">
      <c r="A388" s="8" t="s">
        <v>24</v>
      </c>
      <c r="B388" s="31" t="s">
        <v>195</v>
      </c>
      <c r="C388" s="18" t="s">
        <v>1076</v>
      </c>
      <c r="D388" s="18" t="s">
        <v>1079</v>
      </c>
      <c r="E388" s="69" t="s">
        <v>1080</v>
      </c>
      <c r="F388" s="8" t="s">
        <v>3708</v>
      </c>
      <c r="G388" s="18" t="s">
        <v>62</v>
      </c>
      <c r="H388" s="18" t="s">
        <v>1081</v>
      </c>
      <c r="I388" s="23">
        <v>1</v>
      </c>
      <c r="J388" s="8" t="s">
        <v>1090</v>
      </c>
      <c r="K388" s="8" t="s">
        <v>3944</v>
      </c>
      <c r="L388" s="283"/>
      <c r="M388" s="8"/>
      <c r="N388" s="8"/>
      <c r="O388" s="281"/>
      <c r="P388" s="8"/>
      <c r="Q388" s="132"/>
      <c r="R388" s="38"/>
      <c r="S388" s="8"/>
      <c r="T388" s="8"/>
      <c r="U388" s="8"/>
      <c r="V388" s="8"/>
      <c r="W388" s="8"/>
      <c r="X388" s="8"/>
      <c r="Y388" s="8"/>
      <c r="Z388" s="8"/>
      <c r="AA388" s="8"/>
    </row>
    <row r="389" spans="1:51" ht="141.75">
      <c r="A389" s="8" t="s">
        <v>24</v>
      </c>
      <c r="B389" s="31" t="s">
        <v>195</v>
      </c>
      <c r="C389" s="18" t="s">
        <v>1076</v>
      </c>
      <c r="D389" s="18" t="s">
        <v>1082</v>
      </c>
      <c r="E389" s="69" t="s">
        <v>1083</v>
      </c>
      <c r="F389" s="8" t="s">
        <v>3708</v>
      </c>
      <c r="G389" s="18" t="s">
        <v>62</v>
      </c>
      <c r="H389" s="18" t="s">
        <v>1084</v>
      </c>
      <c r="I389" s="23">
        <v>1</v>
      </c>
      <c r="J389" s="8" t="s">
        <v>1191</v>
      </c>
      <c r="K389" s="8" t="s">
        <v>3945</v>
      </c>
      <c r="L389" s="283"/>
      <c r="M389" s="8" t="s">
        <v>9</v>
      </c>
      <c r="N389" s="8"/>
      <c r="O389" s="281"/>
      <c r="P389" s="8"/>
      <c r="Q389" s="132"/>
      <c r="R389" s="38"/>
      <c r="S389" s="8"/>
      <c r="T389" s="8"/>
      <c r="U389" s="8"/>
      <c r="V389" s="8"/>
      <c r="W389" s="8"/>
      <c r="X389" s="8"/>
      <c r="Y389" s="8"/>
      <c r="Z389" s="8"/>
      <c r="AA389" s="8"/>
    </row>
    <row r="390" spans="1:51" ht="63">
      <c r="A390" s="8" t="s">
        <v>24</v>
      </c>
      <c r="B390" s="31" t="s">
        <v>195</v>
      </c>
      <c r="C390" s="18" t="s">
        <v>1076</v>
      </c>
      <c r="D390" s="18" t="s">
        <v>1085</v>
      </c>
      <c r="E390" s="18" t="s">
        <v>1086</v>
      </c>
      <c r="F390" s="20"/>
      <c r="G390" s="24" t="s">
        <v>62</v>
      </c>
      <c r="H390" s="24"/>
      <c r="I390" s="24"/>
      <c r="J390" s="20"/>
      <c r="K390" s="20"/>
      <c r="L390" s="278"/>
      <c r="M390" s="20"/>
      <c r="N390" s="20"/>
      <c r="O390" s="279"/>
      <c r="P390" s="20"/>
      <c r="Q390" s="132"/>
      <c r="R390" s="39"/>
      <c r="S390" s="20"/>
      <c r="T390" s="20"/>
      <c r="U390" s="20"/>
      <c r="V390" s="20"/>
      <c r="W390" s="20"/>
      <c r="X390" s="20"/>
      <c r="Y390" s="20"/>
      <c r="Z390" s="20"/>
      <c r="AA390" s="8"/>
    </row>
    <row r="391" spans="1:51" ht="67.900000000000006" customHeight="1">
      <c r="A391" s="8" t="s">
        <v>24</v>
      </c>
      <c r="B391" s="31" t="s">
        <v>195</v>
      </c>
      <c r="C391" s="18" t="s">
        <v>1076</v>
      </c>
      <c r="D391" s="18" t="s">
        <v>1087</v>
      </c>
      <c r="E391" s="18" t="s">
        <v>1088</v>
      </c>
      <c r="F391" s="8" t="s">
        <v>3708</v>
      </c>
      <c r="G391" s="18" t="s">
        <v>62</v>
      </c>
      <c r="H391" s="18" t="s">
        <v>1089</v>
      </c>
      <c r="I391" s="18" t="s">
        <v>1090</v>
      </c>
      <c r="J391" s="8" t="s">
        <v>1090</v>
      </c>
      <c r="K391" s="8" t="s">
        <v>3946</v>
      </c>
      <c r="L391" s="283"/>
      <c r="M391" s="8"/>
      <c r="N391" s="8"/>
      <c r="O391" s="281"/>
      <c r="P391" s="8"/>
      <c r="Q391" s="132"/>
      <c r="R391" s="38"/>
      <c r="S391" s="8"/>
      <c r="T391" s="8"/>
      <c r="U391" s="8"/>
      <c r="V391" s="8"/>
      <c r="W391" s="8"/>
      <c r="X391" s="8"/>
      <c r="Y391" s="8"/>
      <c r="Z391" s="8"/>
      <c r="AA391" s="8"/>
    </row>
    <row r="392" spans="1:51" ht="189">
      <c r="A392" s="8" t="s">
        <v>24</v>
      </c>
      <c r="B392" s="31" t="s">
        <v>195</v>
      </c>
      <c r="C392" s="18" t="s">
        <v>1076</v>
      </c>
      <c r="D392" s="18" t="s">
        <v>1091</v>
      </c>
      <c r="E392" s="69" t="s">
        <v>1092</v>
      </c>
      <c r="F392" s="8" t="s">
        <v>3708</v>
      </c>
      <c r="G392" s="18" t="s">
        <v>62</v>
      </c>
      <c r="H392" s="18" t="s">
        <v>1089</v>
      </c>
      <c r="I392" s="18" t="s">
        <v>1090</v>
      </c>
      <c r="J392" s="8" t="s">
        <v>1090</v>
      </c>
      <c r="K392" s="8" t="s">
        <v>3946</v>
      </c>
      <c r="L392" s="283"/>
      <c r="M392" s="8"/>
      <c r="N392" s="8"/>
      <c r="O392" s="281"/>
      <c r="P392" s="8"/>
      <c r="Q392" s="132"/>
      <c r="R392" s="38"/>
      <c r="S392" s="8"/>
      <c r="T392" s="8"/>
      <c r="U392" s="8"/>
      <c r="V392" s="8"/>
      <c r="W392" s="8"/>
      <c r="X392" s="8"/>
      <c r="Y392" s="8"/>
      <c r="Z392" s="8"/>
      <c r="AA392" s="8"/>
    </row>
    <row r="393" spans="1:51" ht="173.25">
      <c r="A393" s="8" t="s">
        <v>24</v>
      </c>
      <c r="B393" s="31" t="s">
        <v>195</v>
      </c>
      <c r="C393" s="18" t="s">
        <v>1076</v>
      </c>
      <c r="D393" s="18" t="s">
        <v>1093</v>
      </c>
      <c r="E393" s="69" t="s">
        <v>1094</v>
      </c>
      <c r="F393" s="8" t="s">
        <v>3710</v>
      </c>
      <c r="G393" s="18" t="s">
        <v>62</v>
      </c>
      <c r="H393" s="18" t="s">
        <v>1095</v>
      </c>
      <c r="I393" s="18" t="s">
        <v>1096</v>
      </c>
      <c r="J393" s="8" t="s">
        <v>1090</v>
      </c>
      <c r="K393" s="8" t="s">
        <v>3947</v>
      </c>
      <c r="L393" s="283"/>
      <c r="M393" s="8"/>
      <c r="N393" s="8"/>
      <c r="O393" s="281"/>
      <c r="P393" s="8"/>
      <c r="Q393" s="132"/>
      <c r="R393" s="38"/>
      <c r="S393" s="8"/>
      <c r="T393" s="8"/>
      <c r="U393" s="8"/>
      <c r="V393" s="8"/>
      <c r="W393" s="8"/>
      <c r="X393" s="8"/>
      <c r="Y393" s="8"/>
      <c r="Z393" s="8"/>
      <c r="AA393" s="8"/>
    </row>
    <row r="394" spans="1:51" ht="94.5">
      <c r="A394" s="8" t="s">
        <v>24</v>
      </c>
      <c r="B394" s="31" t="s">
        <v>195</v>
      </c>
      <c r="C394" s="18" t="s">
        <v>1076</v>
      </c>
      <c r="D394" s="18" t="s">
        <v>1097</v>
      </c>
      <c r="E394" s="69" t="s">
        <v>1098</v>
      </c>
      <c r="F394" s="8" t="s">
        <v>3710</v>
      </c>
      <c r="G394" s="18" t="s">
        <v>62</v>
      </c>
      <c r="H394" s="18" t="s">
        <v>1099</v>
      </c>
      <c r="I394" s="23">
        <v>1</v>
      </c>
      <c r="J394" s="8" t="s">
        <v>1090</v>
      </c>
      <c r="K394" s="8" t="s">
        <v>3948</v>
      </c>
      <c r="L394" s="283"/>
      <c r="M394" s="8"/>
      <c r="N394" s="8"/>
      <c r="O394" s="281"/>
      <c r="P394" s="8"/>
      <c r="Q394" s="132"/>
      <c r="R394" s="38"/>
      <c r="S394" s="8"/>
      <c r="T394" s="8"/>
      <c r="U394" s="8"/>
      <c r="V394" s="8"/>
      <c r="W394" s="8"/>
      <c r="X394" s="8"/>
      <c r="Y394" s="8"/>
      <c r="Z394" s="8"/>
      <c r="AA394" s="8"/>
    </row>
    <row r="395" spans="1:51" ht="94.5">
      <c r="A395" s="8" t="s">
        <v>24</v>
      </c>
      <c r="B395" s="31" t="s">
        <v>195</v>
      </c>
      <c r="C395" s="18" t="s">
        <v>1076</v>
      </c>
      <c r="D395" s="18" t="s">
        <v>1100</v>
      </c>
      <c r="E395" s="18" t="s">
        <v>1101</v>
      </c>
      <c r="F395" s="8" t="s">
        <v>3710</v>
      </c>
      <c r="G395" s="18" t="s">
        <v>58</v>
      </c>
      <c r="H395" s="18" t="s">
        <v>1102</v>
      </c>
      <c r="I395" s="23">
        <v>0.7</v>
      </c>
      <c r="J395" s="8" t="s">
        <v>1191</v>
      </c>
      <c r="K395" s="8" t="s">
        <v>3949</v>
      </c>
      <c r="L395" s="283"/>
      <c r="M395" s="8" t="s">
        <v>11</v>
      </c>
      <c r="N395" s="8"/>
      <c r="O395" s="281"/>
      <c r="P395" s="8"/>
      <c r="Q395" s="132"/>
      <c r="R395" s="38"/>
      <c r="S395" s="8"/>
      <c r="T395" s="8"/>
      <c r="U395" s="8"/>
      <c r="V395" s="8"/>
      <c r="W395" s="8"/>
      <c r="X395" s="8"/>
      <c r="Y395" s="8"/>
      <c r="Z395" s="8"/>
      <c r="AA395" s="8"/>
    </row>
    <row r="396" spans="1:51" ht="84" customHeight="1">
      <c r="A396" s="8" t="s">
        <v>24</v>
      </c>
      <c r="B396" s="31" t="s">
        <v>195</v>
      </c>
      <c r="C396" s="18" t="s">
        <v>1103</v>
      </c>
      <c r="D396" s="18" t="s">
        <v>1104</v>
      </c>
      <c r="E396" s="18" t="s">
        <v>1105</v>
      </c>
      <c r="F396" s="8" t="s">
        <v>3708</v>
      </c>
      <c r="G396" s="18" t="s">
        <v>62</v>
      </c>
      <c r="H396" s="18" t="s">
        <v>1106</v>
      </c>
      <c r="I396" s="23">
        <v>1</v>
      </c>
      <c r="J396" s="8" t="s">
        <v>1090</v>
      </c>
      <c r="K396" s="8" t="s">
        <v>3950</v>
      </c>
      <c r="L396" s="283"/>
      <c r="M396" s="8"/>
      <c r="N396" s="8"/>
      <c r="O396" s="281"/>
      <c r="P396" s="8"/>
      <c r="Q396" s="132"/>
      <c r="R396" s="38"/>
      <c r="S396" s="8"/>
      <c r="T396" s="8"/>
      <c r="U396" s="8"/>
      <c r="V396" s="8"/>
      <c r="W396" s="8"/>
      <c r="X396" s="8"/>
      <c r="Y396" s="8"/>
      <c r="Z396" s="8"/>
      <c r="AA396" s="8"/>
    </row>
    <row r="397" spans="1:51" ht="45.6" customHeight="1">
      <c r="A397" s="8" t="s">
        <v>24</v>
      </c>
      <c r="B397" s="31" t="s">
        <v>195</v>
      </c>
      <c r="C397" s="18" t="s">
        <v>1107</v>
      </c>
      <c r="D397" s="18" t="s">
        <v>1108</v>
      </c>
      <c r="E397" s="18" t="s">
        <v>1109</v>
      </c>
      <c r="F397" s="8" t="s">
        <v>3708</v>
      </c>
      <c r="G397" s="18" t="s">
        <v>62</v>
      </c>
      <c r="H397" s="18" t="s">
        <v>1110</v>
      </c>
      <c r="I397" s="23">
        <v>1</v>
      </c>
      <c r="J397" s="8" t="s">
        <v>1090</v>
      </c>
      <c r="K397" s="8" t="s">
        <v>3950</v>
      </c>
      <c r="L397" s="283"/>
      <c r="M397" s="8"/>
      <c r="N397" s="8"/>
      <c r="O397" s="281"/>
      <c r="P397" s="8"/>
      <c r="Q397" s="132"/>
      <c r="R397" s="38"/>
      <c r="S397" s="8"/>
      <c r="T397" s="8"/>
      <c r="U397" s="8"/>
      <c r="V397" s="8"/>
      <c r="W397" s="8"/>
      <c r="X397" s="8"/>
      <c r="Y397" s="8"/>
      <c r="Z397" s="8"/>
      <c r="AA397" s="8"/>
    </row>
    <row r="398" spans="1:51" ht="46.9" customHeight="1">
      <c r="A398" s="8" t="s">
        <v>24</v>
      </c>
      <c r="B398" s="31" t="s">
        <v>195</v>
      </c>
      <c r="C398" s="18" t="s">
        <v>1111</v>
      </c>
      <c r="D398" s="18" t="s">
        <v>1112</v>
      </c>
      <c r="E398" s="18" t="s">
        <v>1113</v>
      </c>
      <c r="F398" s="8" t="s">
        <v>3708</v>
      </c>
      <c r="G398" s="18" t="s">
        <v>62</v>
      </c>
      <c r="H398" s="18" t="s">
        <v>1114</v>
      </c>
      <c r="I398" s="23">
        <v>1</v>
      </c>
      <c r="J398" s="8" t="s">
        <v>1090</v>
      </c>
      <c r="K398" s="8" t="s">
        <v>3950</v>
      </c>
      <c r="L398" s="283"/>
      <c r="M398" s="8"/>
      <c r="N398" s="8"/>
      <c r="O398" s="281"/>
      <c r="P398" s="8"/>
      <c r="Q398" s="132"/>
      <c r="R398" s="38"/>
      <c r="S398" s="8"/>
      <c r="T398" s="8"/>
      <c r="U398" s="8"/>
      <c r="V398" s="8"/>
      <c r="W398" s="8"/>
      <c r="X398" s="8"/>
      <c r="Y398" s="8"/>
      <c r="Z398" s="8"/>
      <c r="AA398" s="8"/>
    </row>
    <row r="399" spans="1:51" ht="195.75" customHeight="1">
      <c r="A399" s="8" t="s">
        <v>24</v>
      </c>
      <c r="B399" s="31" t="s">
        <v>195</v>
      </c>
      <c r="C399" s="18" t="s">
        <v>1111</v>
      </c>
      <c r="D399" s="18" t="s">
        <v>1115</v>
      </c>
      <c r="E399" s="18" t="s">
        <v>1116</v>
      </c>
      <c r="F399" s="8" t="s">
        <v>3766</v>
      </c>
      <c r="G399" s="18" t="s">
        <v>62</v>
      </c>
      <c r="H399" s="18" t="s">
        <v>1117</v>
      </c>
      <c r="I399" s="18" t="s">
        <v>671</v>
      </c>
      <c r="J399" s="8" t="s">
        <v>1090</v>
      </c>
      <c r="K399" s="8" t="s">
        <v>3951</v>
      </c>
      <c r="L399" s="283"/>
      <c r="M399" s="8"/>
      <c r="N399" s="8"/>
      <c r="O399" s="281"/>
      <c r="P399" s="8"/>
      <c r="Q399" s="132"/>
      <c r="R399" s="38"/>
      <c r="S399" s="8"/>
      <c r="T399" s="8"/>
      <c r="U399" s="8"/>
      <c r="V399" s="8"/>
      <c r="W399" s="8"/>
      <c r="X399" s="8"/>
      <c r="Y399" s="8"/>
      <c r="Z399" s="8"/>
      <c r="AA399" s="8"/>
    </row>
    <row r="400" spans="1:51" s="5" customFormat="1" ht="47.25" hidden="1">
      <c r="A400" s="20" t="s">
        <v>24</v>
      </c>
      <c r="B400" s="32" t="s">
        <v>274</v>
      </c>
      <c r="C400" s="24" t="s">
        <v>1118</v>
      </c>
      <c r="D400" s="19" t="s">
        <v>582</v>
      </c>
      <c r="E400" s="24" t="s">
        <v>582</v>
      </c>
      <c r="F400" s="24" t="s">
        <v>582</v>
      </c>
      <c r="G400" s="19" t="s">
        <v>582</v>
      </c>
      <c r="H400" s="19" t="s">
        <v>582</v>
      </c>
      <c r="I400" s="19" t="s">
        <v>582</v>
      </c>
      <c r="J400" s="19" t="s">
        <v>582</v>
      </c>
      <c r="K400" s="19" t="s">
        <v>582</v>
      </c>
      <c r="L400" s="19" t="s">
        <v>582</v>
      </c>
      <c r="M400" s="19" t="s">
        <v>582</v>
      </c>
      <c r="N400" s="19" t="s">
        <v>582</v>
      </c>
      <c r="O400" s="19" t="s">
        <v>582</v>
      </c>
      <c r="P400" s="19" t="s">
        <v>582</v>
      </c>
      <c r="Q400" s="48"/>
      <c r="R400" s="44" t="s">
        <v>582</v>
      </c>
      <c r="S400" s="19" t="s">
        <v>582</v>
      </c>
      <c r="T400" s="19" t="s">
        <v>582</v>
      </c>
      <c r="U400" s="19"/>
      <c r="V400" s="19" t="s">
        <v>582</v>
      </c>
      <c r="W400" s="19" t="s">
        <v>582</v>
      </c>
      <c r="X400" s="19" t="s">
        <v>582</v>
      </c>
      <c r="Y400" s="19" t="s">
        <v>582</v>
      </c>
      <c r="Z400" s="19" t="s">
        <v>582</v>
      </c>
      <c r="AA400" s="19" t="s">
        <v>582</v>
      </c>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t="s">
        <v>582</v>
      </c>
      <c r="E401" s="24" t="s">
        <v>582</v>
      </c>
      <c r="F401" s="24" t="s">
        <v>582</v>
      </c>
      <c r="G401" s="19" t="s">
        <v>582</v>
      </c>
      <c r="H401" s="19" t="s">
        <v>582</v>
      </c>
      <c r="I401" s="19" t="s">
        <v>582</v>
      </c>
      <c r="J401" s="19" t="s">
        <v>582</v>
      </c>
      <c r="K401" s="19" t="s">
        <v>582</v>
      </c>
      <c r="L401" s="19" t="s">
        <v>582</v>
      </c>
      <c r="M401" s="19" t="s">
        <v>582</v>
      </c>
      <c r="N401" s="19" t="s">
        <v>582</v>
      </c>
      <c r="O401" s="19" t="s">
        <v>582</v>
      </c>
      <c r="P401" s="19" t="s">
        <v>582</v>
      </c>
      <c r="Q401" s="48"/>
      <c r="R401" s="44" t="s">
        <v>582</v>
      </c>
      <c r="S401" s="19" t="s">
        <v>582</v>
      </c>
      <c r="T401" s="19" t="s">
        <v>582</v>
      </c>
      <c r="U401" s="19"/>
      <c r="V401" s="19" t="s">
        <v>582</v>
      </c>
      <c r="W401" s="19" t="s">
        <v>582</v>
      </c>
      <c r="X401" s="19" t="s">
        <v>582</v>
      </c>
      <c r="Y401" s="19" t="s">
        <v>582</v>
      </c>
      <c r="Z401" s="19" t="s">
        <v>582</v>
      </c>
      <c r="AA401" s="19" t="s">
        <v>582</v>
      </c>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t="s">
        <v>582</v>
      </c>
      <c r="E402" s="24" t="s">
        <v>582</v>
      </c>
      <c r="F402" s="24" t="s">
        <v>582</v>
      </c>
      <c r="G402" s="19" t="s">
        <v>582</v>
      </c>
      <c r="H402" s="19" t="s">
        <v>582</v>
      </c>
      <c r="I402" s="19" t="s">
        <v>582</v>
      </c>
      <c r="J402" s="19" t="s">
        <v>582</v>
      </c>
      <c r="K402" s="19" t="s">
        <v>582</v>
      </c>
      <c r="L402" s="19" t="s">
        <v>582</v>
      </c>
      <c r="M402" s="19" t="s">
        <v>582</v>
      </c>
      <c r="N402" s="19" t="s">
        <v>582</v>
      </c>
      <c r="O402" s="19" t="s">
        <v>582</v>
      </c>
      <c r="P402" s="19" t="s">
        <v>582</v>
      </c>
      <c r="Q402" s="48"/>
      <c r="R402" s="44" t="s">
        <v>582</v>
      </c>
      <c r="S402" s="19" t="s">
        <v>582</v>
      </c>
      <c r="T402" s="19" t="s">
        <v>582</v>
      </c>
      <c r="U402" s="19"/>
      <c r="V402" s="19" t="s">
        <v>582</v>
      </c>
      <c r="W402" s="19" t="s">
        <v>582</v>
      </c>
      <c r="X402" s="19" t="s">
        <v>582</v>
      </c>
      <c r="Y402" s="19" t="s">
        <v>582</v>
      </c>
      <c r="Z402" s="19" t="s">
        <v>582</v>
      </c>
      <c r="AA402" s="19" t="s">
        <v>582</v>
      </c>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customHeight="1">
      <c r="A403" s="8" t="s">
        <v>24</v>
      </c>
      <c r="B403" s="31" t="s">
        <v>274</v>
      </c>
      <c r="C403" s="18" t="s">
        <v>1121</v>
      </c>
      <c r="D403" s="18" t="s">
        <v>1122</v>
      </c>
      <c r="E403" s="18" t="s">
        <v>1123</v>
      </c>
      <c r="F403" s="8" t="s">
        <v>3710</v>
      </c>
      <c r="G403" s="18" t="s">
        <v>62</v>
      </c>
      <c r="H403" s="18" t="s">
        <v>1124</v>
      </c>
      <c r="I403" s="23">
        <v>1</v>
      </c>
      <c r="J403" s="8" t="s">
        <v>1090</v>
      </c>
      <c r="K403" s="8" t="s">
        <v>3952</v>
      </c>
      <c r="L403" s="283"/>
      <c r="M403" s="8"/>
      <c r="N403" s="8"/>
      <c r="O403" s="281"/>
      <c r="P403" s="8"/>
      <c r="Q403" s="132"/>
      <c r="R403" s="38"/>
      <c r="S403" s="8"/>
      <c r="T403" s="8"/>
      <c r="U403" s="8"/>
      <c r="V403" s="8"/>
      <c r="W403" s="8"/>
      <c r="X403" s="8"/>
      <c r="Y403" s="8"/>
      <c r="Z403" s="8"/>
      <c r="AA403" s="8"/>
    </row>
    <row r="404" spans="1:51" ht="61.9" customHeight="1">
      <c r="A404" s="8" t="s">
        <v>24</v>
      </c>
      <c r="B404" s="31" t="s">
        <v>274</v>
      </c>
      <c r="C404" s="18" t="s">
        <v>1121</v>
      </c>
      <c r="D404" s="18" t="s">
        <v>1125</v>
      </c>
      <c r="E404" s="18" t="s">
        <v>1126</v>
      </c>
      <c r="F404" s="8" t="s">
        <v>3710</v>
      </c>
      <c r="G404" s="18" t="s">
        <v>62</v>
      </c>
      <c r="H404" s="18" t="s">
        <v>1127</v>
      </c>
      <c r="I404" s="23">
        <v>1</v>
      </c>
      <c r="J404" s="8" t="s">
        <v>8</v>
      </c>
      <c r="K404" s="8"/>
      <c r="L404" s="283"/>
      <c r="M404" s="8"/>
      <c r="N404" s="8"/>
      <c r="O404" s="281"/>
      <c r="P404" s="8"/>
      <c r="Q404" s="132"/>
      <c r="R404" s="38"/>
      <c r="S404" s="8"/>
      <c r="T404" s="8"/>
      <c r="U404" s="8"/>
      <c r="V404" s="8"/>
      <c r="W404" s="8"/>
      <c r="X404" s="8"/>
      <c r="Y404" s="8"/>
      <c r="Z404" s="8"/>
      <c r="AA404" s="8"/>
    </row>
    <row r="405" spans="1:51" ht="78.75">
      <c r="A405" s="8" t="s">
        <v>24</v>
      </c>
      <c r="B405" s="31" t="s">
        <v>587</v>
      </c>
      <c r="C405" s="18" t="s">
        <v>1128</v>
      </c>
      <c r="D405" s="18" t="s">
        <v>1129</v>
      </c>
      <c r="E405" s="18" t="s">
        <v>1130</v>
      </c>
      <c r="F405" s="20"/>
      <c r="G405" s="24" t="s">
        <v>62</v>
      </c>
      <c r="H405" s="24" t="s">
        <v>591</v>
      </c>
      <c r="I405" s="25">
        <v>1</v>
      </c>
      <c r="J405" s="20"/>
      <c r="K405" s="20"/>
      <c r="L405" s="278"/>
      <c r="M405" s="20"/>
      <c r="N405" s="20"/>
      <c r="O405" s="279"/>
      <c r="P405" s="20"/>
      <c r="Q405" s="132"/>
      <c r="R405" s="39"/>
      <c r="S405" s="20"/>
      <c r="T405" s="20"/>
      <c r="U405" s="20"/>
      <c r="V405" s="20"/>
      <c r="W405" s="20"/>
      <c r="X405" s="20"/>
      <c r="Y405" s="20"/>
      <c r="Z405" s="20"/>
      <c r="AA405" s="8"/>
    </row>
    <row r="406" spans="1:51" ht="141.75">
      <c r="A406" s="8" t="s">
        <v>24</v>
      </c>
      <c r="B406" s="31" t="s">
        <v>587</v>
      </c>
      <c r="C406" s="18" t="s">
        <v>1128</v>
      </c>
      <c r="D406" s="18" t="s">
        <v>1131</v>
      </c>
      <c r="E406" s="69" t="s">
        <v>1132</v>
      </c>
      <c r="F406" s="8" t="s">
        <v>3708</v>
      </c>
      <c r="G406" s="18" t="s">
        <v>62</v>
      </c>
      <c r="H406" s="18" t="s">
        <v>591</v>
      </c>
      <c r="I406" s="23">
        <v>1</v>
      </c>
      <c r="J406" s="8" t="s">
        <v>1090</v>
      </c>
      <c r="K406" s="8" t="s">
        <v>3953</v>
      </c>
      <c r="L406" s="283"/>
      <c r="M406" s="8"/>
      <c r="N406" s="8"/>
      <c r="O406" s="281"/>
      <c r="P406" s="8"/>
      <c r="Q406" s="132"/>
      <c r="R406" s="38"/>
      <c r="S406" s="8"/>
      <c r="T406" s="8"/>
      <c r="U406" s="8"/>
      <c r="V406" s="8"/>
      <c r="W406" s="8"/>
      <c r="X406" s="8"/>
      <c r="Y406" s="8"/>
      <c r="Z406" s="8"/>
      <c r="AA406" s="8"/>
    </row>
    <row r="407" spans="1:51" ht="141.75">
      <c r="A407" s="8" t="s">
        <v>24</v>
      </c>
      <c r="B407" s="31" t="s">
        <v>587</v>
      </c>
      <c r="C407" s="18" t="s">
        <v>1128</v>
      </c>
      <c r="D407" s="18" t="s">
        <v>1133</v>
      </c>
      <c r="E407" s="69" t="s">
        <v>1134</v>
      </c>
      <c r="F407" s="8" t="s">
        <v>3708</v>
      </c>
      <c r="G407" s="18" t="s">
        <v>62</v>
      </c>
      <c r="H407" s="18" t="s">
        <v>591</v>
      </c>
      <c r="I407" s="23">
        <v>2</v>
      </c>
      <c r="J407" s="8" t="s">
        <v>1191</v>
      </c>
      <c r="K407" s="8" t="s">
        <v>3954</v>
      </c>
      <c r="L407" s="283"/>
      <c r="M407" s="8" t="s">
        <v>9</v>
      </c>
      <c r="N407" s="8"/>
      <c r="O407" s="281"/>
      <c r="P407" s="8"/>
      <c r="Q407" s="132"/>
      <c r="R407" s="38"/>
      <c r="S407" s="8"/>
      <c r="T407" s="8"/>
      <c r="U407" s="8"/>
      <c r="V407" s="8"/>
      <c r="W407" s="8"/>
      <c r="X407" s="8"/>
      <c r="Y407" s="8"/>
      <c r="Z407" s="8"/>
      <c r="AA407" s="8"/>
    </row>
    <row r="408" spans="1:51" ht="126">
      <c r="A408" s="8" t="s">
        <v>24</v>
      </c>
      <c r="B408" s="31" t="s">
        <v>587</v>
      </c>
      <c r="C408" s="18" t="s">
        <v>1128</v>
      </c>
      <c r="D408" s="18" t="s">
        <v>1135</v>
      </c>
      <c r="E408" s="69" t="s">
        <v>1136</v>
      </c>
      <c r="F408" s="8" t="s">
        <v>3710</v>
      </c>
      <c r="G408" s="18" t="s">
        <v>62</v>
      </c>
      <c r="H408" s="18" t="s">
        <v>591</v>
      </c>
      <c r="I408" s="23">
        <v>3</v>
      </c>
      <c r="J408" s="8" t="s">
        <v>1090</v>
      </c>
      <c r="K408" s="8" t="s">
        <v>3955</v>
      </c>
      <c r="L408" s="283"/>
      <c r="M408" s="8"/>
      <c r="N408" s="8"/>
      <c r="O408" s="281"/>
      <c r="P408" s="8"/>
      <c r="Q408" s="132"/>
      <c r="R408" s="38"/>
      <c r="S408" s="8"/>
      <c r="T408" s="8"/>
      <c r="U408" s="8"/>
      <c r="V408" s="8"/>
      <c r="W408" s="8"/>
      <c r="X408" s="8"/>
      <c r="Y408" s="8"/>
      <c r="Z408" s="8"/>
      <c r="AA408" s="8"/>
    </row>
    <row r="409" spans="1:51" ht="189">
      <c r="A409" s="8" t="s">
        <v>24</v>
      </c>
      <c r="B409" s="31" t="s">
        <v>587</v>
      </c>
      <c r="C409" s="18" t="s">
        <v>1128</v>
      </c>
      <c r="D409" s="18" t="s">
        <v>1137</v>
      </c>
      <c r="E409" s="69" t="s">
        <v>1138</v>
      </c>
      <c r="F409" s="8" t="s">
        <v>3710</v>
      </c>
      <c r="G409" s="18" t="s">
        <v>62</v>
      </c>
      <c r="H409" s="18" t="s">
        <v>591</v>
      </c>
      <c r="I409" s="23">
        <v>4</v>
      </c>
      <c r="J409" s="8" t="s">
        <v>1090</v>
      </c>
      <c r="K409" s="8" t="s">
        <v>3956</v>
      </c>
      <c r="L409" s="283"/>
      <c r="M409" s="8"/>
      <c r="N409" s="8"/>
      <c r="O409" s="281"/>
      <c r="P409" s="8"/>
      <c r="Q409" s="132"/>
      <c r="R409" s="38"/>
      <c r="S409" s="8"/>
      <c r="T409" s="8"/>
      <c r="U409" s="8"/>
      <c r="V409" s="8"/>
      <c r="W409" s="8"/>
      <c r="X409" s="8"/>
      <c r="Y409" s="8"/>
      <c r="Z409" s="8"/>
      <c r="AA409" s="8"/>
    </row>
    <row r="410" spans="1:51" ht="157.5">
      <c r="A410" s="8" t="s">
        <v>24</v>
      </c>
      <c r="B410" s="31" t="s">
        <v>587</v>
      </c>
      <c r="C410" s="18" t="s">
        <v>1128</v>
      </c>
      <c r="D410" s="18" t="s">
        <v>1139</v>
      </c>
      <c r="E410" s="69" t="s">
        <v>1140</v>
      </c>
      <c r="F410" s="8" t="s">
        <v>3710</v>
      </c>
      <c r="G410" s="18" t="s">
        <v>62</v>
      </c>
      <c r="H410" s="18" t="s">
        <v>591</v>
      </c>
      <c r="I410" s="23">
        <v>5</v>
      </c>
      <c r="J410" s="8" t="s">
        <v>1090</v>
      </c>
      <c r="K410" s="8" t="s">
        <v>3957</v>
      </c>
      <c r="L410" s="283"/>
      <c r="M410" s="8"/>
      <c r="N410" s="8"/>
      <c r="O410" s="281"/>
      <c r="P410" s="8"/>
      <c r="Q410" s="132"/>
      <c r="R410" s="38"/>
      <c r="S410" s="8"/>
      <c r="T410" s="8"/>
      <c r="U410" s="8"/>
      <c r="V410" s="8"/>
      <c r="W410" s="8"/>
      <c r="X410" s="8"/>
      <c r="Y410" s="8"/>
      <c r="Z410" s="8"/>
      <c r="AA410" s="8"/>
    </row>
    <row r="411" spans="1:51" ht="159.75" customHeight="1">
      <c r="A411" s="8" t="s">
        <v>24</v>
      </c>
      <c r="B411" s="31" t="s">
        <v>587</v>
      </c>
      <c r="C411" s="18" t="s">
        <v>1128</v>
      </c>
      <c r="D411" s="18" t="s">
        <v>1141</v>
      </c>
      <c r="E411" s="18" t="s">
        <v>1142</v>
      </c>
      <c r="F411" s="8" t="s">
        <v>3708</v>
      </c>
      <c r="G411" s="18" t="s">
        <v>58</v>
      </c>
      <c r="H411" s="18" t="s">
        <v>1143</v>
      </c>
      <c r="I411" s="23">
        <v>1</v>
      </c>
      <c r="J411" s="8" t="s">
        <v>1090</v>
      </c>
      <c r="K411" s="8" t="s">
        <v>3958</v>
      </c>
      <c r="L411" s="283"/>
      <c r="M411" s="8"/>
      <c r="N411" s="8"/>
      <c r="O411" s="281"/>
      <c r="P411" s="8"/>
      <c r="Q411" s="132"/>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283"/>
      <c r="M412" s="8"/>
      <c r="N412" s="8"/>
      <c r="O412" s="281"/>
      <c r="P412" s="8"/>
      <c r="Q412" s="132"/>
      <c r="R412" s="38"/>
      <c r="S412" s="8"/>
      <c r="T412" s="8"/>
      <c r="U412" s="8"/>
      <c r="V412" s="8"/>
      <c r="W412" s="8"/>
      <c r="X412" s="8"/>
      <c r="Y412" s="8"/>
      <c r="Z412" s="8"/>
      <c r="AA412" s="8"/>
    </row>
    <row r="413" spans="1:51" ht="141.75">
      <c r="A413" s="8" t="s">
        <v>24</v>
      </c>
      <c r="B413" s="31" t="s">
        <v>587</v>
      </c>
      <c r="C413" s="18" t="s">
        <v>1144</v>
      </c>
      <c r="D413" s="18" t="s">
        <v>1148</v>
      </c>
      <c r="E413" s="18" t="s">
        <v>1146</v>
      </c>
      <c r="F413" s="8" t="s">
        <v>3708</v>
      </c>
      <c r="G413" s="18" t="s">
        <v>1149</v>
      </c>
      <c r="H413" s="18" t="s">
        <v>428</v>
      </c>
      <c r="I413" s="23">
        <v>1</v>
      </c>
      <c r="J413" s="8" t="s">
        <v>1090</v>
      </c>
      <c r="K413" s="8" t="s">
        <v>3959</v>
      </c>
      <c r="L413" s="283"/>
      <c r="M413" s="8"/>
      <c r="N413" s="8"/>
      <c r="O413" s="281"/>
      <c r="P413" s="8"/>
      <c r="Q413" s="132"/>
      <c r="R413" s="38"/>
      <c r="S413" s="8"/>
      <c r="T413" s="8"/>
      <c r="U413" s="8"/>
      <c r="V413" s="8"/>
      <c r="W413" s="8"/>
      <c r="X413" s="8"/>
      <c r="Y413" s="8"/>
      <c r="Z413" s="8"/>
      <c r="AA413" s="8"/>
    </row>
    <row r="414" spans="1:51" s="5" customFormat="1" ht="78.75" hidden="1">
      <c r="A414" s="20" t="s">
        <v>24</v>
      </c>
      <c r="B414" s="32" t="s">
        <v>587</v>
      </c>
      <c r="C414" s="24" t="s">
        <v>1150</v>
      </c>
      <c r="D414" s="19" t="s">
        <v>582</v>
      </c>
      <c r="E414" s="24" t="s">
        <v>582</v>
      </c>
      <c r="F414" s="24" t="s">
        <v>582</v>
      </c>
      <c r="G414" s="19" t="s">
        <v>582</v>
      </c>
      <c r="H414" s="19" t="s">
        <v>582</v>
      </c>
      <c r="I414" s="19" t="s">
        <v>582</v>
      </c>
      <c r="J414" s="19" t="s">
        <v>582</v>
      </c>
      <c r="K414" s="19" t="s">
        <v>582</v>
      </c>
      <c r="L414" s="19" t="s">
        <v>582</v>
      </c>
      <c r="M414" s="19" t="s">
        <v>582</v>
      </c>
      <c r="N414" s="19" t="s">
        <v>582</v>
      </c>
      <c r="O414" s="19" t="s">
        <v>582</v>
      </c>
      <c r="P414" s="19" t="s">
        <v>582</v>
      </c>
      <c r="Q414" s="48"/>
      <c r="R414" s="44" t="s">
        <v>582</v>
      </c>
      <c r="S414" s="19" t="s">
        <v>582</v>
      </c>
      <c r="T414" s="19" t="s">
        <v>582</v>
      </c>
      <c r="U414" s="19"/>
      <c r="V414" s="19" t="s">
        <v>582</v>
      </c>
      <c r="W414" s="19" t="s">
        <v>582</v>
      </c>
      <c r="X414" s="19" t="s">
        <v>582</v>
      </c>
      <c r="Y414" s="19" t="s">
        <v>582</v>
      </c>
      <c r="Z414" s="19" t="s">
        <v>582</v>
      </c>
      <c r="AA414" s="19" t="s">
        <v>582</v>
      </c>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141.75">
      <c r="A415" s="8" t="s">
        <v>24</v>
      </c>
      <c r="B415" s="31" t="s">
        <v>587</v>
      </c>
      <c r="C415" s="18" t="s">
        <v>1151</v>
      </c>
      <c r="D415" s="18" t="s">
        <v>1152</v>
      </c>
      <c r="E415" s="18" t="s">
        <v>1153</v>
      </c>
      <c r="F415" s="8" t="s">
        <v>3708</v>
      </c>
      <c r="G415" s="18" t="s">
        <v>62</v>
      </c>
      <c r="H415" s="18" t="s">
        <v>1154</v>
      </c>
      <c r="I415" s="18" t="s">
        <v>1155</v>
      </c>
      <c r="J415" s="8" t="s">
        <v>1191</v>
      </c>
      <c r="K415" s="8" t="s">
        <v>3960</v>
      </c>
      <c r="L415" s="283"/>
      <c r="M415" s="8" t="s">
        <v>9</v>
      </c>
      <c r="N415" s="8"/>
      <c r="O415" s="281"/>
      <c r="P415" s="8"/>
      <c r="Q415" s="132"/>
      <c r="R415" s="38"/>
      <c r="S415" s="8"/>
      <c r="T415" s="8"/>
      <c r="U415" s="8"/>
      <c r="V415" s="8"/>
      <c r="W415" s="8"/>
      <c r="X415" s="8"/>
      <c r="Y415" s="8"/>
      <c r="Z415" s="8"/>
      <c r="AA415" s="8"/>
    </row>
    <row r="416" spans="1:5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customHeight="1">
      <c r="A417" s="18" t="s">
        <v>26</v>
      </c>
      <c r="B417" s="31" t="s">
        <v>54</v>
      </c>
      <c r="C417" s="18" t="s">
        <v>1157</v>
      </c>
      <c r="D417" s="18" t="s">
        <v>1158</v>
      </c>
      <c r="E417" s="18" t="s">
        <v>1159</v>
      </c>
      <c r="F417" s="8" t="s">
        <v>3708</v>
      </c>
      <c r="G417" s="18" t="s">
        <v>62</v>
      </c>
      <c r="H417" s="18" t="s">
        <v>1160</v>
      </c>
      <c r="I417" s="23">
        <v>0.5</v>
      </c>
      <c r="J417" s="8" t="s">
        <v>1191</v>
      </c>
      <c r="K417" s="8" t="s">
        <v>3960</v>
      </c>
      <c r="L417" s="283"/>
      <c r="M417" s="8" t="s">
        <v>9</v>
      </c>
      <c r="N417" s="8"/>
      <c r="O417" s="281"/>
      <c r="P417" s="8"/>
      <c r="Q417" s="132"/>
      <c r="R417" s="38"/>
      <c r="S417" s="8"/>
      <c r="T417" s="8"/>
      <c r="U417" s="8"/>
      <c r="V417" s="8"/>
      <c r="W417" s="8"/>
      <c r="X417" s="8"/>
      <c r="Y417" s="8"/>
      <c r="Z417" s="8"/>
      <c r="AA417" s="8"/>
    </row>
    <row r="418" spans="1:51" ht="68.25" customHeight="1">
      <c r="A418" s="18" t="s">
        <v>26</v>
      </c>
      <c r="B418" s="31" t="s">
        <v>54</v>
      </c>
      <c r="C418" s="18" t="s">
        <v>1161</v>
      </c>
      <c r="D418" s="18" t="s">
        <v>1162</v>
      </c>
      <c r="E418" s="18" t="s">
        <v>1163</v>
      </c>
      <c r="F418" s="8" t="s">
        <v>3710</v>
      </c>
      <c r="G418" s="18" t="s">
        <v>62</v>
      </c>
      <c r="H418" s="18" t="s">
        <v>1164</v>
      </c>
      <c r="I418" s="18" t="s">
        <v>1165</v>
      </c>
      <c r="J418" s="8" t="s">
        <v>1191</v>
      </c>
      <c r="K418" s="8" t="s">
        <v>3961</v>
      </c>
      <c r="L418" s="283"/>
      <c r="M418" s="8" t="s">
        <v>9</v>
      </c>
      <c r="N418" s="8"/>
      <c r="O418" s="281"/>
      <c r="P418" s="8"/>
      <c r="Q418" s="132"/>
      <c r="R418" s="38"/>
      <c r="S418" s="8"/>
      <c r="T418" s="8"/>
      <c r="U418" s="8"/>
      <c r="V418" s="8"/>
      <c r="W418" s="8"/>
      <c r="X418" s="8"/>
      <c r="Y418" s="8"/>
      <c r="Z418" s="8"/>
      <c r="AA418" s="8"/>
    </row>
    <row r="419" spans="1:51" ht="31.5" hidden="1">
      <c r="A419" s="24" t="s">
        <v>26</v>
      </c>
      <c r="B419" s="32" t="s">
        <v>54</v>
      </c>
      <c r="C419" s="24" t="s">
        <v>1166</v>
      </c>
      <c r="D419" s="19" t="s">
        <v>582</v>
      </c>
      <c r="E419" s="24" t="s">
        <v>582</v>
      </c>
      <c r="F419" s="24" t="s">
        <v>582</v>
      </c>
      <c r="G419" s="19" t="s">
        <v>582</v>
      </c>
      <c r="H419" s="19" t="s">
        <v>582</v>
      </c>
      <c r="I419" s="19" t="s">
        <v>582</v>
      </c>
      <c r="J419" s="19" t="s">
        <v>582</v>
      </c>
      <c r="K419" s="19" t="s">
        <v>582</v>
      </c>
      <c r="L419" s="19" t="s">
        <v>582</v>
      </c>
      <c r="M419" s="19" t="s">
        <v>582</v>
      </c>
      <c r="N419" s="19" t="s">
        <v>582</v>
      </c>
      <c r="O419" s="19" t="s">
        <v>582</v>
      </c>
      <c r="P419" s="19" t="s">
        <v>582</v>
      </c>
      <c r="Q419" s="48"/>
      <c r="R419" s="44" t="s">
        <v>582</v>
      </c>
      <c r="S419" s="19" t="s">
        <v>582</v>
      </c>
      <c r="T419" s="19" t="s">
        <v>582</v>
      </c>
      <c r="U419" s="19"/>
      <c r="V419" s="19" t="s">
        <v>582</v>
      </c>
      <c r="W419" s="19" t="s">
        <v>582</v>
      </c>
      <c r="X419" s="19" t="s">
        <v>582</v>
      </c>
      <c r="Y419" s="19" t="s">
        <v>582</v>
      </c>
      <c r="Z419" s="19" t="s">
        <v>582</v>
      </c>
      <c r="AA419" s="19" t="s">
        <v>582</v>
      </c>
    </row>
    <row r="420" spans="1:51" ht="47.25" hidden="1">
      <c r="A420" s="18" t="s">
        <v>26</v>
      </c>
      <c r="B420" s="31" t="s">
        <v>195</v>
      </c>
      <c r="C420" s="18" t="s">
        <v>1167</v>
      </c>
      <c r="D420" s="18" t="s">
        <v>1168</v>
      </c>
      <c r="E420" s="18" t="s">
        <v>1169</v>
      </c>
      <c r="F420" s="8"/>
      <c r="G420" s="18" t="s">
        <v>71</v>
      </c>
      <c r="H420" s="18" t="s">
        <v>1170</v>
      </c>
      <c r="I420" s="18" t="s">
        <v>1171</v>
      </c>
      <c r="J420" s="8"/>
      <c r="K420" s="8"/>
      <c r="L420" s="283"/>
      <c r="M420" s="8"/>
      <c r="N420" s="8"/>
      <c r="O420" s="281"/>
      <c r="P420" s="8"/>
      <c r="Q420" s="132"/>
      <c r="R420" s="38"/>
      <c r="S420" s="8"/>
      <c r="T420" s="8"/>
      <c r="U420" s="8"/>
      <c r="V420" s="8"/>
      <c r="W420" s="8"/>
      <c r="X420" s="8"/>
      <c r="Y420" s="8"/>
      <c r="Z420" s="8"/>
      <c r="AA420" s="8"/>
    </row>
    <row r="421" spans="1:51" ht="51.6" customHeight="1">
      <c r="A421" s="18" t="s">
        <v>26</v>
      </c>
      <c r="B421" s="31" t="s">
        <v>195</v>
      </c>
      <c r="C421" s="18" t="s">
        <v>1167</v>
      </c>
      <c r="D421" s="18" t="s">
        <v>1172</v>
      </c>
      <c r="E421" s="18" t="s">
        <v>1173</v>
      </c>
      <c r="F421" s="8" t="s">
        <v>3710</v>
      </c>
      <c r="G421" s="18" t="s">
        <v>62</v>
      </c>
      <c r="H421" s="18" t="s">
        <v>1174</v>
      </c>
      <c r="I421" s="18" t="s">
        <v>1175</v>
      </c>
      <c r="J421" s="8" t="s">
        <v>1191</v>
      </c>
      <c r="K421" s="8" t="s">
        <v>3737</v>
      </c>
      <c r="L421" s="283"/>
      <c r="M421" s="8" t="s">
        <v>11</v>
      </c>
      <c r="N421" s="8"/>
      <c r="O421" s="281"/>
      <c r="P421" s="8"/>
      <c r="Q421" s="132"/>
      <c r="R421" s="38"/>
      <c r="S421" s="8"/>
      <c r="T421" s="8"/>
      <c r="U421" s="8"/>
      <c r="V421" s="8"/>
      <c r="W421" s="8"/>
      <c r="X421" s="8"/>
      <c r="Y421" s="8"/>
      <c r="Z421" s="8"/>
      <c r="AA421" s="8"/>
    </row>
    <row r="422" spans="1:51" s="2" customFormat="1" ht="63" hidden="1">
      <c r="A422" s="24" t="s">
        <v>26</v>
      </c>
      <c r="B422" s="32" t="s">
        <v>195</v>
      </c>
      <c r="C422" s="24" t="s">
        <v>1176</v>
      </c>
      <c r="D422" s="19" t="s">
        <v>582</v>
      </c>
      <c r="E422" s="24" t="s">
        <v>582</v>
      </c>
      <c r="F422" s="24" t="s">
        <v>582</v>
      </c>
      <c r="G422" s="24" t="s">
        <v>582</v>
      </c>
      <c r="H422" s="19" t="s">
        <v>582</v>
      </c>
      <c r="I422" s="19" t="s">
        <v>582</v>
      </c>
      <c r="J422" s="19" t="s">
        <v>582</v>
      </c>
      <c r="K422" s="19" t="s">
        <v>582</v>
      </c>
      <c r="L422" s="19" t="s">
        <v>582</v>
      </c>
      <c r="M422" s="19" t="s">
        <v>582</v>
      </c>
      <c r="N422" s="19" t="s">
        <v>582</v>
      </c>
      <c r="O422" s="19" t="s">
        <v>582</v>
      </c>
      <c r="P422" s="19" t="s">
        <v>582</v>
      </c>
      <c r="Q422" s="48"/>
      <c r="R422" s="44" t="s">
        <v>582</v>
      </c>
      <c r="S422" s="19" t="s">
        <v>582</v>
      </c>
      <c r="T422" s="19" t="s">
        <v>582</v>
      </c>
      <c r="U422" s="19"/>
      <c r="V422" s="19" t="s">
        <v>582</v>
      </c>
      <c r="W422" s="19" t="s">
        <v>582</v>
      </c>
      <c r="X422" s="19" t="s">
        <v>582</v>
      </c>
      <c r="Y422" s="19" t="s">
        <v>582</v>
      </c>
      <c r="Z422" s="19" t="s">
        <v>582</v>
      </c>
      <c r="AA422" s="19" t="s">
        <v>582</v>
      </c>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t="s">
        <v>582</v>
      </c>
      <c r="E423" s="24" t="s">
        <v>582</v>
      </c>
      <c r="F423" s="24" t="s">
        <v>582</v>
      </c>
      <c r="G423" s="24" t="s">
        <v>582</v>
      </c>
      <c r="H423" s="19" t="s">
        <v>582</v>
      </c>
      <c r="I423" s="19" t="s">
        <v>582</v>
      </c>
      <c r="J423" s="19" t="s">
        <v>582</v>
      </c>
      <c r="K423" s="19" t="s">
        <v>582</v>
      </c>
      <c r="L423" s="19" t="s">
        <v>582</v>
      </c>
      <c r="M423" s="19" t="s">
        <v>582</v>
      </c>
      <c r="N423" s="19" t="s">
        <v>582</v>
      </c>
      <c r="O423" s="19" t="s">
        <v>582</v>
      </c>
      <c r="P423" s="19" t="s">
        <v>582</v>
      </c>
      <c r="Q423" s="48"/>
      <c r="R423" s="44" t="s">
        <v>582</v>
      </c>
      <c r="S423" s="19" t="s">
        <v>582</v>
      </c>
      <c r="T423" s="19" t="s">
        <v>582</v>
      </c>
      <c r="U423" s="19"/>
      <c r="V423" s="19" t="s">
        <v>582</v>
      </c>
      <c r="W423" s="19" t="s">
        <v>582</v>
      </c>
      <c r="X423" s="19" t="s">
        <v>582</v>
      </c>
      <c r="Y423" s="19" t="s">
        <v>582</v>
      </c>
      <c r="Z423" s="19" t="s">
        <v>582</v>
      </c>
      <c r="AA423" s="19" t="s">
        <v>582</v>
      </c>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t="s">
        <v>582</v>
      </c>
      <c r="E424" s="24" t="s">
        <v>582</v>
      </c>
      <c r="F424" s="24" t="s">
        <v>582</v>
      </c>
      <c r="G424" s="24" t="s">
        <v>582</v>
      </c>
      <c r="H424" s="19" t="s">
        <v>582</v>
      </c>
      <c r="I424" s="19" t="s">
        <v>582</v>
      </c>
      <c r="J424" s="19" t="s">
        <v>582</v>
      </c>
      <c r="K424" s="19" t="s">
        <v>582</v>
      </c>
      <c r="L424" s="19" t="s">
        <v>582</v>
      </c>
      <c r="M424" s="19" t="s">
        <v>582</v>
      </c>
      <c r="N424" s="19" t="s">
        <v>582</v>
      </c>
      <c r="O424" s="19" t="s">
        <v>582</v>
      </c>
      <c r="P424" s="19" t="s">
        <v>582</v>
      </c>
      <c r="Q424" s="48"/>
      <c r="R424" s="44" t="s">
        <v>582</v>
      </c>
      <c r="S424" s="19" t="s">
        <v>582</v>
      </c>
      <c r="T424" s="19" t="s">
        <v>582</v>
      </c>
      <c r="U424" s="19"/>
      <c r="V424" s="19" t="s">
        <v>582</v>
      </c>
      <c r="W424" s="19" t="s">
        <v>582</v>
      </c>
      <c r="X424" s="19" t="s">
        <v>582</v>
      </c>
      <c r="Y424" s="19" t="s">
        <v>582</v>
      </c>
      <c r="Z424" s="19" t="s">
        <v>582</v>
      </c>
      <c r="AA424" s="19" t="s">
        <v>582</v>
      </c>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t="s">
        <v>582</v>
      </c>
      <c r="E425" s="24" t="s">
        <v>582</v>
      </c>
      <c r="F425" s="24" t="s">
        <v>582</v>
      </c>
      <c r="G425" s="24" t="s">
        <v>582</v>
      </c>
      <c r="H425" s="19" t="s">
        <v>582</v>
      </c>
      <c r="I425" s="19" t="s">
        <v>582</v>
      </c>
      <c r="J425" s="19" t="s">
        <v>582</v>
      </c>
      <c r="K425" s="19" t="s">
        <v>582</v>
      </c>
      <c r="L425" s="19" t="s">
        <v>582</v>
      </c>
      <c r="M425" s="19" t="s">
        <v>582</v>
      </c>
      <c r="N425" s="19" t="s">
        <v>582</v>
      </c>
      <c r="O425" s="19" t="s">
        <v>582</v>
      </c>
      <c r="P425" s="19" t="s">
        <v>582</v>
      </c>
      <c r="Q425" s="48"/>
      <c r="R425" s="44" t="s">
        <v>582</v>
      </c>
      <c r="S425" s="19" t="s">
        <v>582</v>
      </c>
      <c r="T425" s="19" t="s">
        <v>582</v>
      </c>
      <c r="U425" s="19"/>
      <c r="V425" s="19" t="s">
        <v>582</v>
      </c>
      <c r="W425" s="19" t="s">
        <v>582</v>
      </c>
      <c r="X425" s="19" t="s">
        <v>582</v>
      </c>
      <c r="Y425" s="19" t="s">
        <v>582</v>
      </c>
      <c r="Z425" s="19" t="s">
        <v>582</v>
      </c>
      <c r="AA425" s="19" t="s">
        <v>582</v>
      </c>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t="s">
        <v>582</v>
      </c>
      <c r="E426" s="24" t="s">
        <v>582</v>
      </c>
      <c r="F426" s="24" t="s">
        <v>582</v>
      </c>
      <c r="G426" s="24" t="s">
        <v>582</v>
      </c>
      <c r="H426" s="19" t="s">
        <v>582</v>
      </c>
      <c r="I426" s="19" t="s">
        <v>582</v>
      </c>
      <c r="J426" s="19" t="s">
        <v>582</v>
      </c>
      <c r="K426" s="19" t="s">
        <v>582</v>
      </c>
      <c r="L426" s="19" t="s">
        <v>582</v>
      </c>
      <c r="M426" s="19" t="s">
        <v>582</v>
      </c>
      <c r="N426" s="19" t="s">
        <v>582</v>
      </c>
      <c r="O426" s="19" t="s">
        <v>582</v>
      </c>
      <c r="P426" s="19" t="s">
        <v>582</v>
      </c>
      <c r="Q426" s="48"/>
      <c r="R426" s="44" t="s">
        <v>582</v>
      </c>
      <c r="S426" s="19" t="s">
        <v>582</v>
      </c>
      <c r="T426" s="19" t="s">
        <v>582</v>
      </c>
      <c r="U426" s="19"/>
      <c r="V426" s="19" t="s">
        <v>582</v>
      </c>
      <c r="W426" s="19" t="s">
        <v>582</v>
      </c>
      <c r="X426" s="19" t="s">
        <v>582</v>
      </c>
      <c r="Y426" s="19" t="s">
        <v>582</v>
      </c>
      <c r="Z426" s="19" t="s">
        <v>582</v>
      </c>
      <c r="AA426" s="19" t="s">
        <v>582</v>
      </c>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t="s">
        <v>582</v>
      </c>
      <c r="E427" s="24" t="s">
        <v>582</v>
      </c>
      <c r="F427" s="24" t="s">
        <v>582</v>
      </c>
      <c r="G427" s="24" t="s">
        <v>582</v>
      </c>
      <c r="H427" s="19" t="s">
        <v>582</v>
      </c>
      <c r="I427" s="19" t="s">
        <v>582</v>
      </c>
      <c r="J427" s="19" t="s">
        <v>582</v>
      </c>
      <c r="K427" s="19" t="s">
        <v>582</v>
      </c>
      <c r="L427" s="19" t="s">
        <v>582</v>
      </c>
      <c r="M427" s="19" t="s">
        <v>582</v>
      </c>
      <c r="N427" s="19" t="s">
        <v>582</v>
      </c>
      <c r="O427" s="19" t="s">
        <v>582</v>
      </c>
      <c r="P427" s="19" t="s">
        <v>582</v>
      </c>
      <c r="Q427" s="48"/>
      <c r="R427" s="44" t="s">
        <v>582</v>
      </c>
      <c r="S427" s="19" t="s">
        <v>582</v>
      </c>
      <c r="T427" s="19" t="s">
        <v>582</v>
      </c>
      <c r="U427" s="19"/>
      <c r="V427" s="19" t="s">
        <v>582</v>
      </c>
      <c r="W427" s="19" t="s">
        <v>582</v>
      </c>
      <c r="X427" s="19" t="s">
        <v>582</v>
      </c>
      <c r="Y427" s="19" t="s">
        <v>582</v>
      </c>
      <c r="Z427" s="19" t="s">
        <v>582</v>
      </c>
      <c r="AA427" s="19" t="s">
        <v>582</v>
      </c>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t="s">
        <v>582</v>
      </c>
      <c r="E428" s="24" t="s">
        <v>582</v>
      </c>
      <c r="F428" s="24" t="s">
        <v>582</v>
      </c>
      <c r="G428" s="24" t="s">
        <v>582</v>
      </c>
      <c r="H428" s="19" t="s">
        <v>582</v>
      </c>
      <c r="I428" s="19" t="s">
        <v>582</v>
      </c>
      <c r="J428" s="19" t="s">
        <v>582</v>
      </c>
      <c r="K428" s="19" t="s">
        <v>582</v>
      </c>
      <c r="L428" s="19" t="s">
        <v>582</v>
      </c>
      <c r="M428" s="19" t="s">
        <v>582</v>
      </c>
      <c r="N428" s="19" t="s">
        <v>582</v>
      </c>
      <c r="O428" s="19" t="s">
        <v>582</v>
      </c>
      <c r="P428" s="19" t="s">
        <v>582</v>
      </c>
      <c r="Q428" s="48"/>
      <c r="R428" s="44" t="s">
        <v>582</v>
      </c>
      <c r="S428" s="19" t="s">
        <v>582</v>
      </c>
      <c r="T428" s="19" t="s">
        <v>582</v>
      </c>
      <c r="U428" s="19"/>
      <c r="V428" s="19" t="s">
        <v>582</v>
      </c>
      <c r="W428" s="19" t="s">
        <v>582</v>
      </c>
      <c r="X428" s="19" t="s">
        <v>582</v>
      </c>
      <c r="Y428" s="19" t="s">
        <v>582</v>
      </c>
      <c r="Z428" s="19" t="s">
        <v>582</v>
      </c>
      <c r="AA428" s="19" t="s">
        <v>582</v>
      </c>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t="s">
        <v>582</v>
      </c>
      <c r="E429" s="24" t="s">
        <v>582</v>
      </c>
      <c r="F429" s="24" t="s">
        <v>582</v>
      </c>
      <c r="G429" s="24" t="s">
        <v>582</v>
      </c>
      <c r="H429" s="19" t="s">
        <v>582</v>
      </c>
      <c r="I429" s="19" t="s">
        <v>582</v>
      </c>
      <c r="J429" s="19" t="s">
        <v>582</v>
      </c>
      <c r="K429" s="19" t="s">
        <v>582</v>
      </c>
      <c r="L429" s="19" t="s">
        <v>582</v>
      </c>
      <c r="M429" s="19" t="s">
        <v>582</v>
      </c>
      <c r="N429" s="19" t="s">
        <v>582</v>
      </c>
      <c r="O429" s="19" t="s">
        <v>582</v>
      </c>
      <c r="P429" s="19" t="s">
        <v>582</v>
      </c>
      <c r="Q429" s="48"/>
      <c r="R429" s="44" t="s">
        <v>582</v>
      </c>
      <c r="S429" s="19" t="s">
        <v>582</v>
      </c>
      <c r="T429" s="19" t="s">
        <v>582</v>
      </c>
      <c r="U429" s="19"/>
      <c r="V429" s="19" t="s">
        <v>582</v>
      </c>
      <c r="W429" s="19" t="s">
        <v>582</v>
      </c>
      <c r="X429" s="19" t="s">
        <v>582</v>
      </c>
      <c r="Y429" s="19" t="s">
        <v>582</v>
      </c>
      <c r="Z429" s="19" t="s">
        <v>582</v>
      </c>
      <c r="AA429" s="19" t="s">
        <v>582</v>
      </c>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t="s">
        <v>582</v>
      </c>
      <c r="E430" s="24" t="s">
        <v>582</v>
      </c>
      <c r="F430" s="24" t="s">
        <v>582</v>
      </c>
      <c r="G430" s="24" t="s">
        <v>582</v>
      </c>
      <c r="H430" s="19" t="s">
        <v>582</v>
      </c>
      <c r="I430" s="19" t="s">
        <v>582</v>
      </c>
      <c r="J430" s="19" t="s">
        <v>582</v>
      </c>
      <c r="K430" s="19" t="s">
        <v>582</v>
      </c>
      <c r="L430" s="19" t="s">
        <v>582</v>
      </c>
      <c r="M430" s="19" t="s">
        <v>582</v>
      </c>
      <c r="N430" s="19" t="s">
        <v>582</v>
      </c>
      <c r="O430" s="19" t="s">
        <v>582</v>
      </c>
      <c r="P430" s="19" t="s">
        <v>582</v>
      </c>
      <c r="Q430" s="48"/>
      <c r="R430" s="44" t="s">
        <v>582</v>
      </c>
      <c r="S430" s="19" t="s">
        <v>582</v>
      </c>
      <c r="T430" s="19" t="s">
        <v>582</v>
      </c>
      <c r="U430" s="19"/>
      <c r="V430" s="19" t="s">
        <v>582</v>
      </c>
      <c r="W430" s="19" t="s">
        <v>582</v>
      </c>
      <c r="X430" s="19" t="s">
        <v>582</v>
      </c>
      <c r="Y430" s="19" t="s">
        <v>582</v>
      </c>
      <c r="Z430" s="19" t="s">
        <v>582</v>
      </c>
      <c r="AA430" s="19" t="s">
        <v>582</v>
      </c>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t="s">
        <v>582</v>
      </c>
      <c r="E431" s="24" t="s">
        <v>582</v>
      </c>
      <c r="F431" s="24" t="s">
        <v>582</v>
      </c>
      <c r="G431" s="24" t="s">
        <v>582</v>
      </c>
      <c r="H431" s="19" t="s">
        <v>582</v>
      </c>
      <c r="I431" s="19" t="s">
        <v>582</v>
      </c>
      <c r="J431" s="19" t="s">
        <v>582</v>
      </c>
      <c r="K431" s="19" t="s">
        <v>582</v>
      </c>
      <c r="L431" s="19" t="s">
        <v>582</v>
      </c>
      <c r="M431" s="19" t="s">
        <v>582</v>
      </c>
      <c r="N431" s="19" t="s">
        <v>582</v>
      </c>
      <c r="O431" s="19" t="s">
        <v>582</v>
      </c>
      <c r="P431" s="19" t="s">
        <v>582</v>
      </c>
      <c r="Q431" s="48"/>
      <c r="R431" s="44" t="s">
        <v>582</v>
      </c>
      <c r="S431" s="19" t="s">
        <v>582</v>
      </c>
      <c r="T431" s="19" t="s">
        <v>582</v>
      </c>
      <c r="U431" s="19"/>
      <c r="V431" s="19" t="s">
        <v>582</v>
      </c>
      <c r="W431" s="19" t="s">
        <v>582</v>
      </c>
      <c r="X431" s="19" t="s">
        <v>582</v>
      </c>
      <c r="Y431" s="19" t="s">
        <v>582</v>
      </c>
      <c r="Z431" s="19" t="s">
        <v>582</v>
      </c>
      <c r="AA431" s="19" t="s">
        <v>582</v>
      </c>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customHeight="1">
      <c r="A432" s="18" t="s">
        <v>26</v>
      </c>
      <c r="B432" s="31" t="s">
        <v>587</v>
      </c>
      <c r="C432" s="18" t="s">
        <v>1186</v>
      </c>
      <c r="D432" s="18" t="s">
        <v>1187</v>
      </c>
      <c r="E432" s="18" t="s">
        <v>1188</v>
      </c>
      <c r="F432" s="8" t="s">
        <v>3708</v>
      </c>
      <c r="G432" s="18" t="s">
        <v>62</v>
      </c>
      <c r="H432" s="18" t="s">
        <v>1189</v>
      </c>
      <c r="I432" s="23">
        <v>0.5</v>
      </c>
      <c r="J432" s="8" t="s">
        <v>1191</v>
      </c>
      <c r="K432" s="8" t="s">
        <v>3960</v>
      </c>
      <c r="L432" s="283"/>
      <c r="M432" s="8" t="s">
        <v>9</v>
      </c>
      <c r="N432" s="8"/>
      <c r="O432" s="281"/>
      <c r="P432" s="8"/>
      <c r="Q432" s="132"/>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A1" name="filter columns"/>
    <protectedRange sqref="J3:P432 F3:F432" name="input cells CPs"/>
  </protectedRanges>
  <autoFilter ref="A1:O432" xr:uid="{00000000-0009-0000-0000-000002000000}">
    <filterColumn colId="6">
      <filters blank="1">
        <filter val="CPs"/>
        <filter val="CPs / Stakeholders"/>
        <filter val="CPs/Stakeholders"/>
      </filters>
    </filterColumn>
  </autoFilter>
  <dataValidations count="1">
    <dataValidation type="textLength" operator="lessThan" allowBlank="1" showInputMessage="1" showErrorMessage="1" sqref="P1:P432 AA1:AA432" xr:uid="{9593D0C3-61BF-4EB4-A916-8FFD7370357D}">
      <formula1>256</formula1>
    </dataValidation>
  </dataValidations>
  <pageMargins left="0.7" right="0.7" top="0.75" bottom="0.75" header="0.3" footer="0.3"/>
  <pageSetup paperSize="9" orientation="portrait" horizontalDpi="4294967293"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A8890-F92A-422B-9D02-3E5F360C90CE}">
  <dimension ref="A1"/>
  <sheetViews>
    <sheetView workbookViewId="0"/>
  </sheetViews>
  <sheetFormatPr defaultRowHeight="15"/>
  <sheetData>
    <row r="1" spans="1:1">
      <c r="A1" t="s">
        <v>2589</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786C8-2916-4E39-BA07-54A9D76D669E}">
  <dimension ref="B2:C11"/>
  <sheetViews>
    <sheetView workbookViewId="0"/>
  </sheetViews>
  <sheetFormatPr defaultRowHeight="15"/>
  <cols>
    <col min="2" max="2" width="11" bestFit="1" customWidth="1"/>
    <col min="3" max="3" width="11.140625" bestFit="1" customWidth="1"/>
  </cols>
  <sheetData>
    <row r="2" spans="2:3">
      <c r="B2" t="s">
        <v>48</v>
      </c>
      <c r="C2" t="s">
        <v>1190</v>
      </c>
    </row>
    <row r="3" spans="2:3">
      <c r="B3" t="s">
        <v>1090</v>
      </c>
      <c r="C3" t="s">
        <v>9</v>
      </c>
    </row>
    <row r="4" spans="2:3">
      <c r="B4" t="s">
        <v>1191</v>
      </c>
      <c r="C4" t="s">
        <v>10</v>
      </c>
    </row>
    <row r="5" spans="2:3">
      <c r="B5" t="s">
        <v>8</v>
      </c>
      <c r="C5" t="s">
        <v>11</v>
      </c>
    </row>
    <row r="6" spans="2:3">
      <c r="C6" t="s">
        <v>12</v>
      </c>
    </row>
    <row r="11" spans="2:3">
      <c r="B11" s="2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B5A55-A242-4523-9B4B-33EE42611783}">
  <dimension ref="A1:BM130"/>
  <sheetViews>
    <sheetView zoomScale="60" zoomScaleNormal="60" workbookViewId="0">
      <selection activeCell="F6" sqref="F6"/>
    </sheetView>
  </sheetViews>
  <sheetFormatPr defaultColWidth="9.140625" defaultRowHeight="15"/>
  <cols>
    <col min="1" max="1" width="11.28515625" style="4" customWidth="1"/>
    <col min="2" max="2" width="65.28515625" style="4" customWidth="1"/>
    <col min="3" max="10" width="13.5703125" style="4" customWidth="1"/>
    <col min="11" max="11" width="9.140625" style="4"/>
    <col min="12" max="12" width="14.28515625" style="4" customWidth="1"/>
    <col min="13" max="13" width="52.85546875" style="4" customWidth="1"/>
    <col min="14" max="21" width="12.42578125" style="4" customWidth="1"/>
    <col min="22" max="22" width="9.140625" style="4"/>
    <col min="23" max="23" width="11.28515625" style="4" customWidth="1"/>
    <col min="24" max="24" width="50.140625" style="4" bestFit="1" customWidth="1"/>
    <col min="25" max="32" width="12.5703125" style="4" customWidth="1"/>
    <col min="33" max="33" width="9.140625" style="4"/>
    <col min="34" max="34" width="12.7109375" style="4" customWidth="1"/>
    <col min="35" max="35" width="50.140625" style="4" bestFit="1" customWidth="1"/>
    <col min="36" max="43" width="13" style="4" customWidth="1"/>
    <col min="44" max="44" width="9.140625" style="4"/>
    <col min="45" max="45" width="13.5703125" style="4" customWidth="1"/>
    <col min="46" max="46" width="50.140625" style="4" bestFit="1" customWidth="1"/>
    <col min="47" max="54" width="15.85546875" style="4" customWidth="1"/>
    <col min="55" max="55" width="9.140625" style="4"/>
    <col min="56" max="56" width="11.7109375" style="4" customWidth="1"/>
    <col min="57" max="57" width="50.140625" style="4" bestFit="1" customWidth="1"/>
    <col min="58" max="65" width="15.7109375" style="4" customWidth="1"/>
    <col min="66" max="16384" width="9.140625" style="4"/>
  </cols>
  <sheetData>
    <row r="1" spans="1:65" s="59" customFormat="1"/>
    <row r="2" spans="1:65" s="59" customFormat="1" ht="15.75" thickBot="1"/>
    <row r="3" spans="1:65" s="625" customFormat="1" ht="19.5" thickBot="1">
      <c r="A3" s="626" t="s">
        <v>4077</v>
      </c>
      <c r="B3" s="627"/>
      <c r="C3" s="627"/>
      <c r="D3" s="627"/>
      <c r="E3" s="627"/>
      <c r="F3" s="627"/>
      <c r="G3" s="627"/>
      <c r="H3" s="627"/>
      <c r="I3" s="627"/>
      <c r="J3" s="628"/>
      <c r="L3" s="634" t="s">
        <v>4078</v>
      </c>
      <c r="M3" s="634"/>
      <c r="N3" s="634"/>
      <c r="O3" s="634"/>
      <c r="P3" s="634"/>
      <c r="Q3" s="634"/>
      <c r="R3" s="634"/>
      <c r="S3" s="634"/>
      <c r="T3" s="634"/>
      <c r="U3" s="634"/>
      <c r="W3" s="626" t="s">
        <v>4079</v>
      </c>
      <c r="X3" s="627"/>
      <c r="Y3" s="627"/>
      <c r="Z3" s="627"/>
      <c r="AA3" s="627"/>
      <c r="AB3" s="627"/>
      <c r="AC3" s="627"/>
      <c r="AD3" s="627"/>
      <c r="AE3" s="627"/>
      <c r="AF3" s="628"/>
      <c r="AH3" s="626" t="s">
        <v>4080</v>
      </c>
      <c r="AI3" s="627"/>
      <c r="AJ3" s="627"/>
      <c r="AK3" s="627"/>
      <c r="AL3" s="627"/>
      <c r="AM3" s="627"/>
      <c r="AN3" s="627"/>
      <c r="AO3" s="627"/>
      <c r="AP3" s="627"/>
      <c r="AQ3" s="628"/>
      <c r="AS3" s="626" t="s">
        <v>4081</v>
      </c>
      <c r="AT3" s="627"/>
      <c r="AU3" s="627"/>
      <c r="AV3" s="627"/>
      <c r="AW3" s="627"/>
      <c r="AX3" s="627"/>
      <c r="AY3" s="627"/>
      <c r="AZ3" s="627"/>
      <c r="BA3" s="627"/>
      <c r="BB3" s="628"/>
      <c r="BD3" s="626" t="s">
        <v>4082</v>
      </c>
      <c r="BE3" s="627"/>
      <c r="BF3" s="627"/>
      <c r="BG3" s="627"/>
      <c r="BH3" s="627"/>
      <c r="BI3" s="627"/>
      <c r="BJ3" s="627"/>
      <c r="BK3" s="627"/>
      <c r="BL3" s="627"/>
      <c r="BM3" s="628"/>
    </row>
    <row r="4" spans="1:65" s="59" customFormat="1" ht="19.5" thickBot="1">
      <c r="A4" s="629" t="s">
        <v>2</v>
      </c>
      <c r="B4" s="631" t="s">
        <v>3</v>
      </c>
      <c r="C4" s="640" t="s">
        <v>4</v>
      </c>
      <c r="D4" s="640"/>
      <c r="E4" s="640"/>
      <c r="F4" s="640" t="s">
        <v>5</v>
      </c>
      <c r="G4" s="640"/>
      <c r="H4" s="640"/>
      <c r="I4" s="640"/>
      <c r="J4" s="571"/>
      <c r="L4" s="635" t="s">
        <v>2</v>
      </c>
      <c r="M4" s="636" t="s">
        <v>3</v>
      </c>
      <c r="N4" s="637" t="s">
        <v>4</v>
      </c>
      <c r="O4" s="638"/>
      <c r="P4" s="638"/>
      <c r="Q4" s="638" t="s">
        <v>5</v>
      </c>
      <c r="R4" s="638"/>
      <c r="S4" s="638"/>
      <c r="T4" s="638"/>
      <c r="U4" s="306"/>
      <c r="W4" s="629" t="s">
        <v>2</v>
      </c>
      <c r="X4" s="631" t="s">
        <v>3</v>
      </c>
      <c r="Y4" s="633" t="s">
        <v>4</v>
      </c>
      <c r="Z4" s="633"/>
      <c r="AA4" s="633"/>
      <c r="AB4" s="633" t="s">
        <v>5</v>
      </c>
      <c r="AC4" s="633"/>
      <c r="AD4" s="633"/>
      <c r="AE4" s="633"/>
      <c r="AF4" s="55"/>
      <c r="AH4" s="629" t="s">
        <v>2</v>
      </c>
      <c r="AI4" s="631" t="s">
        <v>3</v>
      </c>
      <c r="AJ4" s="633" t="s">
        <v>4</v>
      </c>
      <c r="AK4" s="633"/>
      <c r="AL4" s="633"/>
      <c r="AM4" s="633" t="s">
        <v>5</v>
      </c>
      <c r="AN4" s="633"/>
      <c r="AO4" s="633"/>
      <c r="AP4" s="633"/>
      <c r="AQ4" s="55"/>
      <c r="AS4" s="629" t="s">
        <v>2</v>
      </c>
      <c r="AT4" s="631" t="s">
        <v>3</v>
      </c>
      <c r="AU4" s="633" t="s">
        <v>4</v>
      </c>
      <c r="AV4" s="633"/>
      <c r="AW4" s="633"/>
      <c r="AX4" s="633" t="s">
        <v>5</v>
      </c>
      <c r="AY4" s="633"/>
      <c r="AZ4" s="633"/>
      <c r="BA4" s="633"/>
      <c r="BB4" s="55"/>
      <c r="BD4" s="629" t="s">
        <v>2</v>
      </c>
      <c r="BE4" s="631" t="s">
        <v>3</v>
      </c>
      <c r="BF4" s="633" t="s">
        <v>4</v>
      </c>
      <c r="BG4" s="633"/>
      <c r="BH4" s="633"/>
      <c r="BI4" s="633" t="s">
        <v>5</v>
      </c>
      <c r="BJ4" s="633"/>
      <c r="BK4" s="633"/>
      <c r="BL4" s="633"/>
      <c r="BM4" s="55"/>
    </row>
    <row r="5" spans="1:65" s="59" customFormat="1" ht="57" thickBot="1">
      <c r="A5" s="630"/>
      <c r="B5" s="639"/>
      <c r="C5" s="572" t="s">
        <v>6</v>
      </c>
      <c r="D5" s="573" t="s">
        <v>7</v>
      </c>
      <c r="E5" s="573" t="s">
        <v>8</v>
      </c>
      <c r="F5" s="574" t="s">
        <v>9</v>
      </c>
      <c r="G5" s="574" t="s">
        <v>10</v>
      </c>
      <c r="H5" s="574" t="s">
        <v>11</v>
      </c>
      <c r="I5" s="574" t="s">
        <v>12</v>
      </c>
      <c r="J5" s="575" t="s">
        <v>13</v>
      </c>
      <c r="L5" s="635"/>
      <c r="M5" s="636"/>
      <c r="N5" s="582" t="s">
        <v>6</v>
      </c>
      <c r="O5" s="307" t="s">
        <v>7</v>
      </c>
      <c r="P5" s="307" t="s">
        <v>8</v>
      </c>
      <c r="Q5" s="308" t="s">
        <v>9</v>
      </c>
      <c r="R5" s="308" t="s">
        <v>10</v>
      </c>
      <c r="S5" s="308" t="s">
        <v>11</v>
      </c>
      <c r="T5" s="308" t="s">
        <v>12</v>
      </c>
      <c r="U5" s="309" t="s">
        <v>13</v>
      </c>
      <c r="W5" s="630"/>
      <c r="X5" s="632"/>
      <c r="Y5" s="56" t="s">
        <v>6</v>
      </c>
      <c r="Z5" s="56" t="s">
        <v>7</v>
      </c>
      <c r="AA5" s="56" t="s">
        <v>8</v>
      </c>
      <c r="AB5" s="57" t="s">
        <v>9</v>
      </c>
      <c r="AC5" s="57" t="s">
        <v>10</v>
      </c>
      <c r="AD5" s="57" t="s">
        <v>11</v>
      </c>
      <c r="AE5" s="57" t="s">
        <v>12</v>
      </c>
      <c r="AF5" s="58" t="s">
        <v>13</v>
      </c>
      <c r="AH5" s="630"/>
      <c r="AI5" s="632"/>
      <c r="AJ5" s="56" t="s">
        <v>6</v>
      </c>
      <c r="AK5" s="56" t="s">
        <v>7</v>
      </c>
      <c r="AL5" s="56" t="s">
        <v>8</v>
      </c>
      <c r="AM5" s="57" t="s">
        <v>9</v>
      </c>
      <c r="AN5" s="57" t="s">
        <v>10</v>
      </c>
      <c r="AO5" s="57" t="s">
        <v>11</v>
      </c>
      <c r="AP5" s="57" t="s">
        <v>12</v>
      </c>
      <c r="AQ5" s="58" t="s">
        <v>13</v>
      </c>
      <c r="AS5" s="630"/>
      <c r="AT5" s="632"/>
      <c r="AU5" s="56" t="s">
        <v>6</v>
      </c>
      <c r="AV5" s="56" t="s">
        <v>7</v>
      </c>
      <c r="AW5" s="56" t="s">
        <v>8</v>
      </c>
      <c r="AX5" s="57" t="s">
        <v>9</v>
      </c>
      <c r="AY5" s="57" t="s">
        <v>10</v>
      </c>
      <c r="AZ5" s="57" t="s">
        <v>11</v>
      </c>
      <c r="BA5" s="57" t="s">
        <v>12</v>
      </c>
      <c r="BB5" s="58" t="s">
        <v>13</v>
      </c>
      <c r="BD5" s="630"/>
      <c r="BE5" s="632"/>
      <c r="BF5" s="56" t="s">
        <v>6</v>
      </c>
      <c r="BG5" s="56" t="s">
        <v>7</v>
      </c>
      <c r="BH5" s="56" t="s">
        <v>8</v>
      </c>
      <c r="BI5" s="57" t="s">
        <v>9</v>
      </c>
      <c r="BJ5" s="57" t="s">
        <v>10</v>
      </c>
      <c r="BK5" s="57" t="s">
        <v>11</v>
      </c>
      <c r="BL5" s="57" t="s">
        <v>12</v>
      </c>
      <c r="BM5" s="58" t="s">
        <v>13</v>
      </c>
    </row>
    <row r="6" spans="1:65" s="59" customFormat="1" ht="47.25">
      <c r="A6" s="51" t="s">
        <v>14</v>
      </c>
      <c r="B6" s="52" t="s">
        <v>15</v>
      </c>
      <c r="C6" s="576">
        <f>COUNTIF(ALBANIA!$J3:$J154,"In Progress")/125</f>
        <v>0.20799999999999999</v>
      </c>
      <c r="D6" s="577">
        <f>COUNTIF(ALBANIA!$J3:$J154,"Completed")/125</f>
        <v>0.33600000000000002</v>
      </c>
      <c r="E6" s="577">
        <f>COUNTIF(ALBANIA!$J3:$J154,"Not started")/125</f>
        <v>0.44800000000000001</v>
      </c>
      <c r="F6" s="577">
        <f>COUNTIF(ALBANIA!$M3:$M154,"Technical")/125</f>
        <v>0.27200000000000002</v>
      </c>
      <c r="G6" s="577">
        <f>COUNTIF(ALBANIA!$M3:$M154,"training")/125</f>
        <v>0.26400000000000001</v>
      </c>
      <c r="H6" s="577">
        <f>COUNTIF(ALBANIA!$M3:$M154,"legal")/125</f>
        <v>0.04</v>
      </c>
      <c r="I6" s="577">
        <f>COUNTIF(ALBANIA!$M3:$M154,"investment")/125</f>
        <v>5.6000000000000001E-2</v>
      </c>
      <c r="J6" s="578">
        <f>SUM(ALBANIA!$O3:$O154)</f>
        <v>0</v>
      </c>
      <c r="L6" s="310" t="s">
        <v>14</v>
      </c>
      <c r="M6" s="311" t="s">
        <v>15</v>
      </c>
      <c r="N6" s="576">
        <f>COUNTIF(BandH!$J3:$J154,"In Progress")/125</f>
        <v>9.6000000000000002E-2</v>
      </c>
      <c r="O6" s="577">
        <f>COUNTIF(BandH!$J3:$J154,"Completed")/125</f>
        <v>0</v>
      </c>
      <c r="P6" s="577">
        <f>COUNTIF(BandH!$J3:$J154,"Not started")/125</f>
        <v>0.88</v>
      </c>
      <c r="Q6" s="577">
        <f>COUNTIF(BandH!$M3:$M154,"Technical")/125</f>
        <v>0.112</v>
      </c>
      <c r="R6" s="577">
        <f>COUNTIF(BandH!$M3:$M154,"training")/125</f>
        <v>0.64800000000000002</v>
      </c>
      <c r="S6" s="577">
        <f>COUNTIF(BandH!$M3:$M154,"legal")/125</f>
        <v>0.08</v>
      </c>
      <c r="T6" s="577">
        <f>COUNTIF(BandH!$M3:$M154,"investment")/125</f>
        <v>3.2000000000000001E-2</v>
      </c>
      <c r="U6" s="578">
        <f>SUM(BandH!$O3:$O154)</f>
        <v>521600</v>
      </c>
      <c r="W6" s="51" t="s">
        <v>14</v>
      </c>
      <c r="X6" s="52" t="s">
        <v>15</v>
      </c>
      <c r="Y6" s="583">
        <f>COUNTIF(ISRAEL!$J3:$J154,"In Progress")/125</f>
        <v>5.6000000000000001E-2</v>
      </c>
      <c r="Z6" s="584">
        <f>COUNTIF(ISRAEL!$J3:$J154,"Completed")/125</f>
        <v>0.72</v>
      </c>
      <c r="AA6" s="584">
        <f>COUNTIF(ISRAEL!$J3:$J154,"Not started")/125</f>
        <v>0.2</v>
      </c>
      <c r="AB6" s="584">
        <f>COUNTIF(ISRAEL!$M3:$M154,"Technical")/125</f>
        <v>0.04</v>
      </c>
      <c r="AC6" s="584">
        <f>COUNTIF(ISRAEL!$M3:$M154,"training")/125</f>
        <v>4.8000000000000001E-2</v>
      </c>
      <c r="AD6" s="584">
        <f>COUNTIF(ISRAEL!$M3:$M154,"legal")/125</f>
        <v>0.04</v>
      </c>
      <c r="AE6" s="584">
        <f>COUNTIF(ISRAEL!$M3:$M154,"investment")/125</f>
        <v>5.6000000000000001E-2</v>
      </c>
      <c r="AF6" s="585">
        <f>SUM(ISRAEL!$O3:$O154)</f>
        <v>0</v>
      </c>
      <c r="AH6" s="51" t="s">
        <v>14</v>
      </c>
      <c r="AI6" s="52" t="s">
        <v>15</v>
      </c>
      <c r="AJ6" s="583">
        <f>COUNTIF(MONTENEGRO!$J3:$J154,"In Progress")/125</f>
        <v>0.25600000000000001</v>
      </c>
      <c r="AK6" s="584">
        <f>COUNTIF(MONTENEGRO!$J3:$J154,"Completed")/125</f>
        <v>0.26400000000000001</v>
      </c>
      <c r="AL6" s="584">
        <f>COUNTIF(MONTENEGRO!$J3:$J154,"Not started")/125</f>
        <v>0.47199999999999998</v>
      </c>
      <c r="AM6" s="584">
        <f>COUNTIF(MONTENEGRO!$M3:$M154,"Technical")/125</f>
        <v>0</v>
      </c>
      <c r="AN6" s="584">
        <f>COUNTIF(MONTENEGRO!$M3:$M154,"training")/125</f>
        <v>0</v>
      </c>
      <c r="AO6" s="584">
        <f>COUNTIF(MONTENEGRO!$M3:$M154,"legal")/125</f>
        <v>0</v>
      </c>
      <c r="AP6" s="584">
        <f>COUNTIF(MONTENEGRO!$M3:$M154,"investment")/125</f>
        <v>0</v>
      </c>
      <c r="AQ6" s="585">
        <f>SUM(MONTENEGRO!$O3:$O154)</f>
        <v>0</v>
      </c>
      <c r="AS6" s="51" t="s">
        <v>14</v>
      </c>
      <c r="AT6" s="52" t="s">
        <v>15</v>
      </c>
      <c r="AU6" s="583">
        <f>COUNTIF(TUNISIA!$J3:$J154,"en cours")/125</f>
        <v>0.312</v>
      </c>
      <c r="AV6" s="584">
        <f>COUNTIF(TUNISIA!$J3:$J154,"terminé")/125</f>
        <v>0.48799999999999999</v>
      </c>
      <c r="AW6" s="584">
        <f>COUNTIF(TUNISIA!$J3:$J154,"pas commencé")/125</f>
        <v>0.17599999999999999</v>
      </c>
      <c r="AX6" s="584">
        <f>COUNTIF(TUNISIA!$M3:$M154,"technique")/125</f>
        <v>0.08</v>
      </c>
      <c r="AY6" s="584">
        <f>COUNTIF(TUNISIA!$M3:$M154,"formation")/125</f>
        <v>8.0000000000000002E-3</v>
      </c>
      <c r="AZ6" s="584">
        <f>COUNTIF(TUNISIA!$M3:$M154,"légale")/125</f>
        <v>8.0000000000000002E-3</v>
      </c>
      <c r="BA6" s="584">
        <f>COUNTIF(TUNISIA!$M3:$M154,"investissement")/125</f>
        <v>0</v>
      </c>
      <c r="BB6" s="585">
        <f>SUM(TUNISIA!$O3:$O154)</f>
        <v>0</v>
      </c>
      <c r="BD6" s="51" t="s">
        <v>14</v>
      </c>
      <c r="BE6" s="52" t="s">
        <v>15</v>
      </c>
      <c r="BF6" s="583">
        <f>COUNTIF(Türkiye!$J3:$J154,"In Progress")/125</f>
        <v>0.35199999999999998</v>
      </c>
      <c r="BG6" s="584">
        <f>COUNTIF(Türkiye!$J3:$J154,"Completed")/125</f>
        <v>0.58399999999999996</v>
      </c>
      <c r="BH6" s="584">
        <f>COUNTIF(Türkiye!$J3:$J154,"Not started")/125</f>
        <v>0.08</v>
      </c>
      <c r="BI6" s="584">
        <f>COUNTIF(Türkiye!$M3:$M154,"Technical")/125</f>
        <v>0.184</v>
      </c>
      <c r="BJ6" s="584">
        <f>COUNTIF(Türkiye!$M3:$M154,"training")/125</f>
        <v>9.6000000000000002E-2</v>
      </c>
      <c r="BK6" s="584">
        <f>COUNTIF(Türkiye!$M3:$M154,"legal")/125</f>
        <v>0.08</v>
      </c>
      <c r="BL6" s="584">
        <f>COUNTIF(Türkiye!$M3:$M154,"investment")/125</f>
        <v>0</v>
      </c>
      <c r="BM6" s="585">
        <f>SUM(Türkiye!$O3:$O154)</f>
        <v>0</v>
      </c>
    </row>
    <row r="7" spans="1:65" s="59" customFormat="1" ht="47.25">
      <c r="A7" s="51" t="s">
        <v>16</v>
      </c>
      <c r="B7" s="52" t="s">
        <v>17</v>
      </c>
      <c r="C7" s="576">
        <f>COUNTIF(ALBANIA!$J156:$J213,"In Progress")/50</f>
        <v>0.12</v>
      </c>
      <c r="D7" s="577">
        <f>COUNTIF(ALBANIA!$J156:$J213,"completed")/50</f>
        <v>0.04</v>
      </c>
      <c r="E7" s="577">
        <f>COUNTIF(ALBANIA!$J156:$J213,"Not started")/50</f>
        <v>0.84</v>
      </c>
      <c r="F7" s="577">
        <f>COUNTIF(ALBANIA!$M156:$M213,"tECHNICAL")/50</f>
        <v>0.1</v>
      </c>
      <c r="G7" s="577">
        <f>COUNTIF(ALBANIA!$M156:$M213,"training")/50</f>
        <v>0.52</v>
      </c>
      <c r="H7" s="577">
        <f>COUNTIF(ALBANIA!$M156:$M213,"legal")/50</f>
        <v>0.26</v>
      </c>
      <c r="I7" s="577">
        <f>COUNTIF(ALBANIA!$M156:$M213,"investment")/50</f>
        <v>0.06</v>
      </c>
      <c r="J7" s="578">
        <f>SUM(ALBANIA!$O156:$O213)</f>
        <v>0</v>
      </c>
      <c r="L7" s="310" t="s">
        <v>16</v>
      </c>
      <c r="M7" s="311" t="s">
        <v>17</v>
      </c>
      <c r="N7" s="576">
        <f>COUNTIF(BandH!$J156:$J213,"In Progress")/50</f>
        <v>0</v>
      </c>
      <c r="O7" s="577">
        <f>COUNTIF(BandH!$J156:$J213,"completed")/50</f>
        <v>0</v>
      </c>
      <c r="P7" s="577">
        <f>COUNTIF(BandH!$J156:$J213,"Not started")/50</f>
        <v>1</v>
      </c>
      <c r="Q7" s="577">
        <f>COUNTIF(BandH!$M156:$M213,"tECHNICAL")/50</f>
        <v>0.02</v>
      </c>
      <c r="R7" s="577">
        <f>COUNTIF(BandH!$M156:$M213,"training")/50</f>
        <v>0.14000000000000001</v>
      </c>
      <c r="S7" s="577">
        <f>COUNTIF(BandH!$M156:$M213,"legal")/50</f>
        <v>0.02</v>
      </c>
      <c r="T7" s="577">
        <f>COUNTIF(BandH!$M156:$M213,"investment")/50</f>
        <v>0</v>
      </c>
      <c r="U7" s="578">
        <f>SUM(BandH!$O156:$O213)</f>
        <v>26600</v>
      </c>
      <c r="W7" s="51" t="s">
        <v>16</v>
      </c>
      <c r="X7" s="52" t="s">
        <v>17</v>
      </c>
      <c r="Y7" s="576">
        <f>COUNTIF(ISRAEL!$J156:$J213,"In Progress")/50</f>
        <v>0.3</v>
      </c>
      <c r="Z7" s="577">
        <f>COUNTIF(ISRAEL!$J156:$J213,"completed")/50</f>
        <v>0.42</v>
      </c>
      <c r="AA7" s="577">
        <f>COUNTIF(ISRAEL!$J156:$J213,"Not started")/50</f>
        <v>0.28000000000000003</v>
      </c>
      <c r="AB7" s="577">
        <f>COUNTIF(ISRAEL!$M156:$M213,"tECHNICAL")/50</f>
        <v>0.06</v>
      </c>
      <c r="AC7" s="577">
        <f>COUNTIF(ISRAEL!$M156:$M213,"training")/50</f>
        <v>0.32</v>
      </c>
      <c r="AD7" s="577">
        <f>COUNTIF(ISRAEL!$M156:$M213,"legal")/50</f>
        <v>0.1</v>
      </c>
      <c r="AE7" s="577">
        <f>COUNTIF(ISRAEL!$M156:$M213,"investment")/50</f>
        <v>0.1</v>
      </c>
      <c r="AF7" s="578">
        <f>SUM(ISRAEL!$O156:$O213)</f>
        <v>0</v>
      </c>
      <c r="AH7" s="51" t="s">
        <v>16</v>
      </c>
      <c r="AI7" s="52" t="s">
        <v>17</v>
      </c>
      <c r="AJ7" s="576">
        <f>COUNTIF(MONTENEGRO!$J156:$J213,"In Progress")/50</f>
        <v>0.3</v>
      </c>
      <c r="AK7" s="577">
        <f>COUNTIF(MONTENEGRO!$J156:$J213,"completed")/50</f>
        <v>0.12</v>
      </c>
      <c r="AL7" s="577">
        <f>COUNTIF(MONTENEGRO!$J156:$J213,"Not started")/50</f>
        <v>0.57999999999999996</v>
      </c>
      <c r="AM7" s="577">
        <f>COUNTIF(MONTENEGRO!$M156:$M213,"tECHNICAL")/50</f>
        <v>0</v>
      </c>
      <c r="AN7" s="577">
        <f>COUNTIF(MONTENEGRO!$M156:$M213,"training")/50</f>
        <v>0</v>
      </c>
      <c r="AO7" s="577">
        <f>COUNTIF(MONTENEGRO!$M156:$M213,"legal")/50</f>
        <v>0</v>
      </c>
      <c r="AP7" s="577">
        <f>COUNTIF(MONTENEGRO!$M156:$M213,"investment")/50</f>
        <v>0</v>
      </c>
      <c r="AQ7" s="578">
        <f>SUM(MONTENEGRO!$O156:$O213)</f>
        <v>0</v>
      </c>
      <c r="AS7" s="51" t="s">
        <v>16</v>
      </c>
      <c r="AT7" s="52" t="s">
        <v>17</v>
      </c>
      <c r="AU7" s="576">
        <f>COUNTIF(TUNISIA!$J156:$J213,"en cours")/50</f>
        <v>0.22</v>
      </c>
      <c r="AV7" s="577">
        <f>COUNTIF(TUNISIA!$J156:$J213,"terminé")/50</f>
        <v>0</v>
      </c>
      <c r="AW7" s="577">
        <f>COUNTIF(TUNISIA!$J156:$J213,"pas commencé")/50</f>
        <v>0.78</v>
      </c>
      <c r="AX7" s="577">
        <f>COUNTIF(TUNISIA!$M156:$M213,"technique")/50</f>
        <v>0</v>
      </c>
      <c r="AY7" s="577">
        <f>COUNTIF(TUNISIA!$M156:$M213,"formation")/50</f>
        <v>0</v>
      </c>
      <c r="AZ7" s="577">
        <f>COUNTIF(TUNISIA!$M156:$M213,"légale")/50</f>
        <v>0</v>
      </c>
      <c r="BA7" s="577">
        <f>COUNTIF(TUNISIA!$M156:$M213,"investissement")/50</f>
        <v>0</v>
      </c>
      <c r="BB7" s="578">
        <f>SUM(TUNISIA!$O156:$O213)</f>
        <v>0</v>
      </c>
      <c r="BD7" s="51" t="s">
        <v>16</v>
      </c>
      <c r="BE7" s="52" t="s">
        <v>17</v>
      </c>
      <c r="BF7" s="576">
        <f>COUNTIF(Türkiye!$J156:$J213,"In Progress")/50</f>
        <v>0.38</v>
      </c>
      <c r="BG7" s="577">
        <f>COUNTIF(Türkiye!$J156:$J213,"completed")/50</f>
        <v>0.56000000000000005</v>
      </c>
      <c r="BH7" s="577">
        <f>COUNTIF(Türkiye!$J156:$J213,"Not started")/50</f>
        <v>0.06</v>
      </c>
      <c r="BI7" s="577">
        <f>COUNTIF(Türkiye!$M156:$M213,"tECHNICAL")/50</f>
        <v>0.24</v>
      </c>
      <c r="BJ7" s="577">
        <f>COUNTIF(Türkiye!$M156:$M213,"training")/50</f>
        <v>0.08</v>
      </c>
      <c r="BK7" s="577">
        <f>COUNTIF(Türkiye!$M156:$M213,"legal")/50</f>
        <v>0.08</v>
      </c>
      <c r="BL7" s="577">
        <f>COUNTIF(Türkiye!$M156:$M213,"investment")/50</f>
        <v>0</v>
      </c>
      <c r="BM7" s="578">
        <f>SUM(Türkiye!$O156:$O213)</f>
        <v>0</v>
      </c>
    </row>
    <row r="8" spans="1:65" s="59" customFormat="1" ht="63">
      <c r="A8" s="51" t="s">
        <v>18</v>
      </c>
      <c r="B8" s="52" t="s">
        <v>19</v>
      </c>
      <c r="C8" s="576">
        <f>COUNTIF(ALBANIA!$J215:$J255,"In Progress")/34</f>
        <v>0.17647058823529413</v>
      </c>
      <c r="D8" s="577">
        <f>COUNTIF(ALBANIA!$J215:$J255,"completed")/34</f>
        <v>5.8823529411764705E-2</v>
      </c>
      <c r="E8" s="577">
        <f>COUNTIF(ALBANIA!$J215:$J255,"Not started")/34</f>
        <v>0.76470588235294112</v>
      </c>
      <c r="F8" s="577">
        <f>COUNTIF(ALBANIA!$M215:$M255,"tECHNICAL")/34</f>
        <v>0.11764705882352941</v>
      </c>
      <c r="G8" s="577">
        <f>COUNTIF(ALBANIA!$M215:$M255,"training")/34</f>
        <v>0.5</v>
      </c>
      <c r="H8" s="577">
        <f>COUNTIF(ALBANIA!$M215:$M255,"legal")/34</f>
        <v>0.26470588235294118</v>
      </c>
      <c r="I8" s="577">
        <f>COUNTIF(ALBANIA!$M215:$M255,"investment")/34</f>
        <v>5.8823529411764705E-2</v>
      </c>
      <c r="J8" s="578">
        <f>SUM(ALBANIA!$O215:$O255)</f>
        <v>0</v>
      </c>
      <c r="L8" s="310" t="s">
        <v>18</v>
      </c>
      <c r="M8" s="311" t="s">
        <v>19</v>
      </c>
      <c r="N8" s="576">
        <f>COUNTIF(BandH!$J215:$J255,"In Progress")/34</f>
        <v>0</v>
      </c>
      <c r="O8" s="577">
        <f>COUNTIF(BandH!$J215:$J255,"completed")/34</f>
        <v>0</v>
      </c>
      <c r="P8" s="577">
        <f>COUNTIF(BandH!$J215:$J255,"Not started")/34</f>
        <v>1</v>
      </c>
      <c r="Q8" s="577">
        <f>COUNTIF(BandH!$M215:$M255,"tECHNICAL")/34</f>
        <v>0</v>
      </c>
      <c r="R8" s="577">
        <f>COUNTIF(BandH!$M215:$M255,"training")/34</f>
        <v>5.8823529411764705E-2</v>
      </c>
      <c r="S8" s="577">
        <f>COUNTIF(BandH!$M215:$M255,"legal")/34</f>
        <v>0.20588235294117646</v>
      </c>
      <c r="T8" s="577">
        <f>COUNTIF(BandH!$M215:$M255,"investment")/34</f>
        <v>0</v>
      </c>
      <c r="U8" s="578">
        <f>SUM(BandH!$O215:$O255)</f>
        <v>0</v>
      </c>
      <c r="W8" s="51" t="s">
        <v>18</v>
      </c>
      <c r="X8" s="52" t="s">
        <v>19</v>
      </c>
      <c r="Y8" s="576">
        <f>COUNTIF(ISRAEL!$J215:$J255,"In Progress")/34</f>
        <v>0.23529411764705882</v>
      </c>
      <c r="Z8" s="577">
        <f>COUNTIF(ISRAEL!$J215:$J255,"completed")/34</f>
        <v>0.67647058823529416</v>
      </c>
      <c r="AA8" s="577">
        <f>COUNTIF(ISRAEL!$J215:$J255,"Not started")/34</f>
        <v>8.8235294117647065E-2</v>
      </c>
      <c r="AB8" s="577">
        <f>COUNTIF(ISRAEL!$M215:$M255,"tECHNICAL")/34</f>
        <v>2.9411764705882353E-2</v>
      </c>
      <c r="AC8" s="577">
        <f>COUNTIF(ISRAEL!$M215:$M255,"training")/34</f>
        <v>8.8235294117647065E-2</v>
      </c>
      <c r="AD8" s="577">
        <f>COUNTIF(ISRAEL!$M215:$M255,"legal")/34</f>
        <v>0.11764705882352941</v>
      </c>
      <c r="AE8" s="577">
        <f>COUNTIF(ISRAEL!$M215:$M255,"investment")/34</f>
        <v>8.8235294117647065E-2</v>
      </c>
      <c r="AF8" s="578">
        <f>SUM(ISRAEL!$O215:$O255)</f>
        <v>0</v>
      </c>
      <c r="AH8" s="51" t="s">
        <v>18</v>
      </c>
      <c r="AI8" s="52" t="s">
        <v>19</v>
      </c>
      <c r="AJ8" s="576">
        <f>COUNTIF(MONTENEGRO!$J215:$J255,"In Progress")/34</f>
        <v>0.35294117647058826</v>
      </c>
      <c r="AK8" s="577">
        <f>COUNTIF(MONTENEGRO!$J215:$J255,"completed")/34</f>
        <v>0.26470588235294118</v>
      </c>
      <c r="AL8" s="577">
        <f>COUNTIF(MONTENEGRO!$J215:$J255,"Not started")/34</f>
        <v>0.38235294117647056</v>
      </c>
      <c r="AM8" s="577">
        <f>COUNTIF(MONTENEGRO!$M215:$M255,"tECHNICAL")/34</f>
        <v>0</v>
      </c>
      <c r="AN8" s="577">
        <f>COUNTIF(MONTENEGRO!$M215:$M255,"training")/34</f>
        <v>0</v>
      </c>
      <c r="AO8" s="577">
        <f>COUNTIF(MONTENEGRO!$M215:$M255,"legal")/34</f>
        <v>0</v>
      </c>
      <c r="AP8" s="577">
        <f>COUNTIF(MONTENEGRO!$M215:$M255,"investment")/34</f>
        <v>2.9411764705882353E-2</v>
      </c>
      <c r="AQ8" s="578">
        <f>SUM(MONTENEGRO!$O215:$O255)</f>
        <v>0</v>
      </c>
      <c r="AS8" s="51" t="s">
        <v>18</v>
      </c>
      <c r="AT8" s="52" t="s">
        <v>19</v>
      </c>
      <c r="AU8" s="576">
        <f>COUNTIF(TUNISIA!$J215:$J255,"en cours")/34</f>
        <v>0.17647058823529413</v>
      </c>
      <c r="AV8" s="577">
        <f>COUNTIF(TUNISIA!$J215:$J255,"terminé")/34</f>
        <v>0</v>
      </c>
      <c r="AW8" s="577">
        <f>COUNTIF(TUNISIA!$J215:$J255,"pas commencé")/34</f>
        <v>0.82352941176470584</v>
      </c>
      <c r="AX8" s="577">
        <f>COUNTIF(TUNISIA!$M215:$M255,"technique")/34</f>
        <v>0</v>
      </c>
      <c r="AY8" s="577">
        <f>COUNTIF(TUNISIA!$M215:$M255,"formation")/34</f>
        <v>0</v>
      </c>
      <c r="AZ8" s="577">
        <f>COUNTIF(TUNISIA!$M215:$M255,"légale")/34</f>
        <v>0</v>
      </c>
      <c r="BA8" s="577">
        <f>COUNTIF(TUNISIA!$M215:$M255,"investissement")/34</f>
        <v>0</v>
      </c>
      <c r="BB8" s="578">
        <f>SUM(TUNISIA!$O215:$O255)</f>
        <v>0</v>
      </c>
      <c r="BD8" s="51" t="s">
        <v>18</v>
      </c>
      <c r="BE8" s="52" t="s">
        <v>19</v>
      </c>
      <c r="BF8" s="576">
        <f>COUNTIF(Türkiye!$J215:$J255,"In Progress")/34</f>
        <v>0.17647058823529413</v>
      </c>
      <c r="BG8" s="577">
        <f>COUNTIF(Türkiye!$J215:$J255,"completed")/34</f>
        <v>0.76470588235294112</v>
      </c>
      <c r="BH8" s="577">
        <f>COUNTIF(Türkiye!$J215:$J255,"Not started")/34</f>
        <v>5.8823529411764705E-2</v>
      </c>
      <c r="BI8" s="577">
        <f>COUNTIF(Türkiye!$M215:$M255,"tECHNICAL")/34</f>
        <v>5.8823529411764705E-2</v>
      </c>
      <c r="BJ8" s="577">
        <f>COUNTIF(Türkiye!$M215:$M255,"training")/34</f>
        <v>2.9411764705882353E-2</v>
      </c>
      <c r="BK8" s="577">
        <f>COUNTIF(Türkiye!$M215:$M255,"legal")/34</f>
        <v>0.11764705882352941</v>
      </c>
      <c r="BL8" s="577">
        <f>COUNTIF(Türkiye!$M215:$M255,"investment")/34</f>
        <v>0</v>
      </c>
      <c r="BM8" s="578">
        <f>SUM(Türkiye!$O215:$O255)</f>
        <v>0</v>
      </c>
    </row>
    <row r="9" spans="1:65" s="59" customFormat="1" ht="78.75">
      <c r="A9" s="51" t="s">
        <v>20</v>
      </c>
      <c r="B9" s="52" t="s">
        <v>21</v>
      </c>
      <c r="C9" s="576">
        <f>COUNTIF(ALBANIA!$J257:$J318,"In Progress")/54</f>
        <v>0.31481481481481483</v>
      </c>
      <c r="D9" s="577">
        <f>COUNTIF(ALBANIA!$J257:$J318,"completed")/54</f>
        <v>0.22222222222222221</v>
      </c>
      <c r="E9" s="577">
        <f>COUNTIF(ALBANIA!$J257:$J318,"Not started")/54</f>
        <v>0.46296296296296297</v>
      </c>
      <c r="F9" s="577">
        <f>COUNTIF(ALBANIA!$M257:$M318,"tECHNICAL")/54</f>
        <v>7.407407407407407E-2</v>
      </c>
      <c r="G9" s="577">
        <f>COUNTIF(ALBANIA!$M257:$M318,"training")/54</f>
        <v>0.55555555555555558</v>
      </c>
      <c r="H9" s="577">
        <f>COUNTIF(ALBANIA!$M257:$M318,"legal")/54</f>
        <v>5.5555555555555552E-2</v>
      </c>
      <c r="I9" s="577">
        <f>COUNTIF(ALBANIA!$M257:$M318,"investment")/54</f>
        <v>1.8518518518518517E-2</v>
      </c>
      <c r="J9" s="578">
        <f>SUM(ALBANIA!$O257:$O318)</f>
        <v>0</v>
      </c>
      <c r="L9" s="310" t="s">
        <v>20</v>
      </c>
      <c r="M9" s="311" t="s">
        <v>21</v>
      </c>
      <c r="N9" s="576">
        <f>COUNTIF(BandH!$J257:$J318,"In Progress")/54</f>
        <v>0</v>
      </c>
      <c r="O9" s="577">
        <f>COUNTIF(BandH!$J257:$J318,"completed")/54</f>
        <v>0</v>
      </c>
      <c r="P9" s="577">
        <f>COUNTIF(BandH!$J257:$J318,"Not started")/54</f>
        <v>1</v>
      </c>
      <c r="Q9" s="577">
        <f>COUNTIF(BandH!$M257:$M318,"tECHNICAL")/54</f>
        <v>3.7037037037037035E-2</v>
      </c>
      <c r="R9" s="577">
        <f>COUNTIF(BandH!$M257:$M318,"training")/54</f>
        <v>0.44444444444444442</v>
      </c>
      <c r="S9" s="577">
        <f>COUNTIF(BandH!$M257:$M318,"legal")/54</f>
        <v>7.407407407407407E-2</v>
      </c>
      <c r="T9" s="577">
        <f>COUNTIF(BandH!$M257:$M318,"investment")/54</f>
        <v>0</v>
      </c>
      <c r="U9" s="578">
        <f>SUM(BandH!$O257:$O318)</f>
        <v>53600</v>
      </c>
      <c r="W9" s="51" t="s">
        <v>20</v>
      </c>
      <c r="X9" s="52" t="s">
        <v>21</v>
      </c>
      <c r="Y9" s="576">
        <f>COUNTIF(ISRAEL!$J257:$J318,"In Progress")/54</f>
        <v>3.7037037037037035E-2</v>
      </c>
      <c r="Z9" s="577">
        <f>COUNTIF(ISRAEL!$J257:$J318,"completed")/54</f>
        <v>0.66666666666666663</v>
      </c>
      <c r="AA9" s="577">
        <f>COUNTIF(ISRAEL!$J257:$J318,"Not started")/54</f>
        <v>0.29629629629629628</v>
      </c>
      <c r="AB9" s="577">
        <f>COUNTIF(ISRAEL!$M257:$M318,"tECHNICAL")/54</f>
        <v>0.12962962962962962</v>
      </c>
      <c r="AC9" s="577">
        <f>COUNTIF(ISRAEL!$M257:$M318,"training")/54</f>
        <v>7.407407407407407E-2</v>
      </c>
      <c r="AD9" s="577">
        <f>COUNTIF(ISRAEL!$M257:$M318,"legal")/54</f>
        <v>1.8518518518518517E-2</v>
      </c>
      <c r="AE9" s="577">
        <f>COUNTIF(ISRAEL!$M257:$M318,"investment")/54</f>
        <v>5.5555555555555552E-2</v>
      </c>
      <c r="AF9" s="578">
        <f>SUM(ISRAEL!$O257:$O318)</f>
        <v>0</v>
      </c>
      <c r="AH9" s="51" t="s">
        <v>20</v>
      </c>
      <c r="AI9" s="52" t="s">
        <v>21</v>
      </c>
      <c r="AJ9" s="576">
        <f>COUNTIF(MONTENEGRO!$J257:$J318,"In Progress")/54</f>
        <v>0.24074074074074073</v>
      </c>
      <c r="AK9" s="577">
        <f>COUNTIF(MONTENEGRO!$J257:$J318,"completed")/54</f>
        <v>0.18518518518518517</v>
      </c>
      <c r="AL9" s="577">
        <f>COUNTIF(MONTENEGRO!$J257:$J318,"Not started")/54</f>
        <v>0.57407407407407407</v>
      </c>
      <c r="AM9" s="577">
        <f>COUNTIF(MONTENEGRO!$M257:$M318,"tECHNICAL")/54</f>
        <v>0</v>
      </c>
      <c r="AN9" s="577">
        <f>COUNTIF(MONTENEGRO!$M257:$M318,"training")/54</f>
        <v>0</v>
      </c>
      <c r="AO9" s="577">
        <f>COUNTIF(MONTENEGRO!$M257:$M318,"legal")/54</f>
        <v>0</v>
      </c>
      <c r="AP9" s="577">
        <f>COUNTIF(MONTENEGRO!$M257:$M318,"investment")/54</f>
        <v>0</v>
      </c>
      <c r="AQ9" s="578">
        <f>SUM(MONTENEGRO!$O257:$O318)</f>
        <v>0</v>
      </c>
      <c r="AS9" s="51" t="s">
        <v>20</v>
      </c>
      <c r="AT9" s="52" t="s">
        <v>21</v>
      </c>
      <c r="AU9" s="576">
        <f>COUNTIF(TUNISIA!$J257:$J318,"en cours")/54</f>
        <v>1.8518518518518517E-2</v>
      </c>
      <c r="AV9" s="577">
        <f>COUNTIF(TUNISIA!$J257:$J318,"terminé")/54</f>
        <v>0</v>
      </c>
      <c r="AW9" s="577">
        <f>COUNTIF(TUNISIA!$J257:$J318,"pas commencé")/54</f>
        <v>0.98148148148148151</v>
      </c>
      <c r="AX9" s="577">
        <f>COUNTIF(TUNISIA!$M257:$M318,"technique")/54</f>
        <v>0</v>
      </c>
      <c r="AY9" s="577">
        <f>COUNTIF(TUNISIA!$M257:$M318,"formation")/54</f>
        <v>0</v>
      </c>
      <c r="AZ9" s="577">
        <f>COUNTIF(TUNISIA!$M257:$M318,"légale")/54</f>
        <v>0</v>
      </c>
      <c r="BA9" s="577">
        <f>COUNTIF(TUNISIA!$M257:$M318,"investissement")/54</f>
        <v>0</v>
      </c>
      <c r="BB9" s="578">
        <f>SUM(TUNISIA!$O257:$O318)</f>
        <v>0</v>
      </c>
      <c r="BD9" s="51" t="s">
        <v>20</v>
      </c>
      <c r="BE9" s="52" t="s">
        <v>21</v>
      </c>
      <c r="BF9" s="576">
        <f>COUNTIF(Türkiye!$J257:$J318,"In Progress")/54</f>
        <v>0.35185185185185186</v>
      </c>
      <c r="BG9" s="577">
        <f>COUNTIF(Türkiye!$J257:$J318,"completed")/54</f>
        <v>0.53703703703703709</v>
      </c>
      <c r="BH9" s="577">
        <f>COUNTIF(Türkiye!$J257:$J318,"Not started")/54</f>
        <v>9.2592592592592587E-2</v>
      </c>
      <c r="BI9" s="577">
        <f>COUNTIF(Türkiye!$M257:$M318,"tECHNICAL")/54</f>
        <v>0.24074074074074073</v>
      </c>
      <c r="BJ9" s="577">
        <f>COUNTIF(Türkiye!$M257:$M318,"training")/54</f>
        <v>5.5555555555555552E-2</v>
      </c>
      <c r="BK9" s="577">
        <f>COUNTIF(Türkiye!$M257:$M318,"legal")/54</f>
        <v>3.7037037037037035E-2</v>
      </c>
      <c r="BL9" s="577">
        <f>COUNTIF(Türkiye!$M257:$M318,"investment")/54</f>
        <v>1.8518518518518517E-2</v>
      </c>
      <c r="BM9" s="578">
        <f>SUM(Türkiye!$O257:$O318)</f>
        <v>0</v>
      </c>
    </row>
    <row r="10" spans="1:65" s="59" customFormat="1" ht="31.5">
      <c r="A10" s="51" t="s">
        <v>22</v>
      </c>
      <c r="B10" s="52" t="s">
        <v>23</v>
      </c>
      <c r="C10" s="576">
        <f>COUNTIF(ALBANIA!$J320:$J381,"In Progress")/54</f>
        <v>0.64814814814814814</v>
      </c>
      <c r="D10" s="577">
        <f>COUNTIF(ALBANIA!$J320:$J381,"completed")/54</f>
        <v>9.2592592592592587E-2</v>
      </c>
      <c r="E10" s="577">
        <f>COUNTIF(ALBANIA!$J320:$J381,"Not started")/54</f>
        <v>0.25925925925925924</v>
      </c>
      <c r="F10" s="577">
        <f>COUNTIF(ALBANIA!$M320:$M381,"tECHNICAL")/54</f>
        <v>1.8518518518518517E-2</v>
      </c>
      <c r="G10" s="577">
        <f>COUNTIF(ALBANIA!$M320:$M381,"training")/54</f>
        <v>0.29629629629629628</v>
      </c>
      <c r="H10" s="577">
        <f>COUNTIF(ALBANIA!$M320:$M381,"legal")/54</f>
        <v>0.53703703703703709</v>
      </c>
      <c r="I10" s="577">
        <f>COUNTIF(ALBANIA!$M320:$M381,"investment")/54</f>
        <v>0</v>
      </c>
      <c r="J10" s="578">
        <f>SUM(ALBANIA!$O320:$O381)</f>
        <v>0</v>
      </c>
      <c r="L10" s="310" t="s">
        <v>22</v>
      </c>
      <c r="M10" s="311" t="s">
        <v>23</v>
      </c>
      <c r="N10" s="576">
        <f>COUNTIF(BandH!$J320:$J381,"In Progress")/54</f>
        <v>1.8518518518518517E-2</v>
      </c>
      <c r="O10" s="577">
        <f>COUNTIF(BandH!$J320:$J381,"completed")/54</f>
        <v>0</v>
      </c>
      <c r="P10" s="577">
        <f>COUNTIF(BandH!$J320:$J381,"Not started")/54</f>
        <v>0.98148148148148151</v>
      </c>
      <c r="Q10" s="577">
        <f>COUNTIF(BandH!$M320:$M381,"tECHNICAL")/54</f>
        <v>0</v>
      </c>
      <c r="R10" s="577">
        <f>COUNTIF(BandH!$M320:$M381,"training")/54</f>
        <v>7.407407407407407E-2</v>
      </c>
      <c r="S10" s="577">
        <f>COUNTIF(BandH!$M320:$M381,"legal")/54</f>
        <v>1.8518518518518517E-2</v>
      </c>
      <c r="T10" s="577">
        <f>COUNTIF(BandH!$M320:$M381,"investment")/54</f>
        <v>0</v>
      </c>
      <c r="U10" s="578">
        <f>SUM(BandH!$O320:$O381)</f>
        <v>3000</v>
      </c>
      <c r="W10" s="51" t="s">
        <v>22</v>
      </c>
      <c r="X10" s="52" t="s">
        <v>23</v>
      </c>
      <c r="Y10" s="576">
        <f>COUNTIF(ISRAEL!$J320:$J381,"In Progress")/54</f>
        <v>0.1111111111111111</v>
      </c>
      <c r="Z10" s="577">
        <f>COUNTIF(ISRAEL!$J320:$J381,"completed")/54</f>
        <v>0.24074074074074073</v>
      </c>
      <c r="AA10" s="577">
        <f>COUNTIF(ISRAEL!$J320:$J381,"Not started")/54</f>
        <v>0.62962962962962965</v>
      </c>
      <c r="AB10" s="577">
        <f>COUNTIF(ISRAEL!$M320:$M381,"tECHNICAL")/54</f>
        <v>0.55555555555555558</v>
      </c>
      <c r="AC10" s="577">
        <f>COUNTIF(ISRAEL!$M320:$M381,"training")/54</f>
        <v>1.8518518518518517E-2</v>
      </c>
      <c r="AD10" s="577">
        <f>COUNTIF(ISRAEL!$M320:$M381,"legal")/54</f>
        <v>9.2592592592592587E-2</v>
      </c>
      <c r="AE10" s="577">
        <f>COUNTIF(ISRAEL!$M320:$M381,"investment")/54</f>
        <v>3.7037037037037035E-2</v>
      </c>
      <c r="AF10" s="578">
        <f>SUM(ISRAEL!$O320:$O381)</f>
        <v>0</v>
      </c>
      <c r="AH10" s="51" t="s">
        <v>22</v>
      </c>
      <c r="AI10" s="52" t="s">
        <v>23</v>
      </c>
      <c r="AJ10" s="576">
        <f>COUNTIF(MONTENEGRO!$J320:$J381,"In Progress")/54</f>
        <v>0.14814814814814814</v>
      </c>
      <c r="AK10" s="577">
        <f>COUNTIF(MONTENEGRO!$J320:$J381,"completed")/54</f>
        <v>0.16666666666666666</v>
      </c>
      <c r="AL10" s="577">
        <f>COUNTIF(MONTENEGRO!$J320:$J381,"Not started")/54</f>
        <v>0.68518518518518523</v>
      </c>
      <c r="AM10" s="577">
        <f>COUNTIF(MONTENEGRO!$M320:$M381,"tECHNICAL")/54</f>
        <v>0</v>
      </c>
      <c r="AN10" s="577">
        <f>COUNTIF(MONTENEGRO!$M320:$M381,"training")/54</f>
        <v>0</v>
      </c>
      <c r="AO10" s="577">
        <f>COUNTIF(MONTENEGRO!$M320:$M381,"legal")/54</f>
        <v>0</v>
      </c>
      <c r="AP10" s="577">
        <f>COUNTIF(MONTENEGRO!$M320:$M381,"investment")/54</f>
        <v>0</v>
      </c>
      <c r="AQ10" s="578">
        <f>SUM(MONTENEGRO!$O320:$O381)</f>
        <v>0</v>
      </c>
      <c r="AS10" s="51" t="s">
        <v>22</v>
      </c>
      <c r="AT10" s="52" t="s">
        <v>23</v>
      </c>
      <c r="AU10" s="576">
        <f>COUNTIF(TUNISIA!$J320:$J381,"en cours")/54</f>
        <v>0</v>
      </c>
      <c r="AV10" s="577">
        <f>COUNTIF(TUNISIA!$J320:$J381,"terminé")/54</f>
        <v>0</v>
      </c>
      <c r="AW10" s="577">
        <f>COUNTIF(TUNISIA!$J320:$J381,"pas commencé")/54</f>
        <v>1</v>
      </c>
      <c r="AX10" s="577">
        <f>COUNTIF(TUNISIA!$M320:$M381,"technique")/54</f>
        <v>0</v>
      </c>
      <c r="AY10" s="577">
        <f>COUNTIF(TUNISIA!$M320:$M381,"formation")/54</f>
        <v>0</v>
      </c>
      <c r="AZ10" s="577">
        <f>COUNTIF(TUNISIA!$M320:$M381,"légale")/54</f>
        <v>0</v>
      </c>
      <c r="BA10" s="577">
        <f>COUNTIF(TUNISIA!$M320:$M381,"investissement")/54</f>
        <v>0</v>
      </c>
      <c r="BB10" s="578">
        <f>SUM(TUNISIA!$O320:$O381)</f>
        <v>0</v>
      </c>
      <c r="BD10" s="51" t="s">
        <v>22</v>
      </c>
      <c r="BE10" s="52" t="s">
        <v>23</v>
      </c>
      <c r="BF10" s="576">
        <f>COUNTIF(Türkiye!$J320:$J381,"In Progress")/54</f>
        <v>0.35185185185185186</v>
      </c>
      <c r="BG10" s="577">
        <f>COUNTIF(Türkiye!$J320:$J381,"completed")/54</f>
        <v>0.57407407407407407</v>
      </c>
      <c r="BH10" s="577">
        <f>COUNTIF(Türkiye!$J320:$J381,"Not started")/54</f>
        <v>7.407407407407407E-2</v>
      </c>
      <c r="BI10" s="577">
        <f>COUNTIF(Türkiye!$M320:$M381,"tECHNICAL")/54</f>
        <v>0.24074074074074073</v>
      </c>
      <c r="BJ10" s="577">
        <f>COUNTIF(Türkiye!$M320:$M381,"training")/54</f>
        <v>1.8518518518518517E-2</v>
      </c>
      <c r="BK10" s="577">
        <f>COUNTIF(Türkiye!$M320:$M381,"legal")/54</f>
        <v>7.407407407407407E-2</v>
      </c>
      <c r="BL10" s="577">
        <f>COUNTIF(Türkiye!$M320:$M381,"investment")/54</f>
        <v>0</v>
      </c>
      <c r="BM10" s="578">
        <f>SUM(Türkiye!$O320:$O381)</f>
        <v>0</v>
      </c>
    </row>
    <row r="11" spans="1:65" s="59" customFormat="1" ht="78.75">
      <c r="A11" s="51" t="s">
        <v>24</v>
      </c>
      <c r="B11" s="52" t="s">
        <v>25</v>
      </c>
      <c r="C11" s="576">
        <f>COUNTIF(ALBANIA!$J383:$J415,"In Progress")/24</f>
        <v>0.54166666666666663</v>
      </c>
      <c r="D11" s="577">
        <f>COUNTIF(ALBANIA!$J383:$J415,"completed")/24</f>
        <v>0.16666666666666666</v>
      </c>
      <c r="E11" s="577">
        <f>COUNTIF(ALBANIA!$J383:$J415,"Not started")/24</f>
        <v>0.29166666666666669</v>
      </c>
      <c r="F11" s="577">
        <f>COUNTIF(ALBANIA!$M383:$M415,"tECHNICAL")/24</f>
        <v>0.125</v>
      </c>
      <c r="G11" s="577">
        <f>COUNTIF(ALBANIA!$M383:$M415,"training")/24</f>
        <v>0.66666666666666663</v>
      </c>
      <c r="H11" s="577">
        <f>COUNTIF(ALBANIA!$M383:$M415,"legal")/24</f>
        <v>0</v>
      </c>
      <c r="I11" s="577">
        <f>COUNTIF(ALBANIA!$M383:$M415,"investment")/24</f>
        <v>0</v>
      </c>
      <c r="J11" s="578">
        <f>SUM(ALBANIA!$O382:$O415)</f>
        <v>0</v>
      </c>
      <c r="L11" s="310" t="s">
        <v>24</v>
      </c>
      <c r="M11" s="311" t="s">
        <v>25</v>
      </c>
      <c r="N11" s="576">
        <f>COUNTIF(BandH!$J383:$J415,"In Progress")/24</f>
        <v>0.125</v>
      </c>
      <c r="O11" s="577">
        <f>COUNTIF(BandH!$J383:$J415,"completed")/24</f>
        <v>0</v>
      </c>
      <c r="P11" s="577">
        <f>COUNTIF(BandH!$J383:$J415,"Not started")/24</f>
        <v>0.875</v>
      </c>
      <c r="Q11" s="577">
        <f>COUNTIF(BandH!$M383:$M415,"tECHNICAL")/24</f>
        <v>4.1666666666666664E-2</v>
      </c>
      <c r="R11" s="577">
        <f>COUNTIF(BandH!$M383:$M415,"training")/24</f>
        <v>0.125</v>
      </c>
      <c r="S11" s="577">
        <f>COUNTIF(BandH!$M383:$M415,"legal")/24</f>
        <v>0</v>
      </c>
      <c r="T11" s="577">
        <f>COUNTIF(BandH!$M383:$M415,"investment")/24</f>
        <v>0</v>
      </c>
      <c r="U11" s="578">
        <f>SUM(BandH!$O382:$O415)</f>
        <v>18000</v>
      </c>
      <c r="W11" s="51" t="s">
        <v>24</v>
      </c>
      <c r="X11" s="52" t="s">
        <v>25</v>
      </c>
      <c r="Y11" s="576">
        <f>COUNTIF(ISRAEL!$J383:$J415,"In Progress")/24</f>
        <v>8.3333333333333329E-2</v>
      </c>
      <c r="Z11" s="577">
        <f>COUNTIF(ISRAEL!$J383:$J415,"completed")/24</f>
        <v>0.75</v>
      </c>
      <c r="AA11" s="577">
        <f>COUNTIF(ISRAEL!$J383:$J415,"Not started")/24</f>
        <v>0.16666666666666666</v>
      </c>
      <c r="AB11" s="577">
        <f>COUNTIF(ISRAEL!$M383:$M415,"tECHNICAL")/24</f>
        <v>8.3333333333333329E-2</v>
      </c>
      <c r="AC11" s="577">
        <f>COUNTIF(ISRAEL!$M383:$M415,"training")/24</f>
        <v>4.1666666666666664E-2</v>
      </c>
      <c r="AD11" s="577">
        <f>COUNTIF(ISRAEL!$M383:$M415,"legal")/24</f>
        <v>8.3333333333333329E-2</v>
      </c>
      <c r="AE11" s="577">
        <f>COUNTIF(ISRAEL!$M383:$M415,"investment")/24</f>
        <v>0</v>
      </c>
      <c r="AF11" s="578">
        <f>SUM(ISRAEL!$O382:$O415)</f>
        <v>0</v>
      </c>
      <c r="AH11" s="51" t="s">
        <v>24</v>
      </c>
      <c r="AI11" s="52" t="s">
        <v>25</v>
      </c>
      <c r="AJ11" s="576">
        <f>COUNTIF(MONTENEGRO!$J383:$J415,"In Progress")/24</f>
        <v>0.375</v>
      </c>
      <c r="AK11" s="577">
        <f>COUNTIF(MONTENEGRO!$J383:$J415,"completed")/24</f>
        <v>8.3333333333333329E-2</v>
      </c>
      <c r="AL11" s="577">
        <f>COUNTIF(MONTENEGRO!$J383:$J415,"Not started")/24</f>
        <v>0.54166666666666663</v>
      </c>
      <c r="AM11" s="577">
        <f>COUNTIF(MONTENEGRO!$M383:$M415,"tECHNICAL")/24</f>
        <v>0</v>
      </c>
      <c r="AN11" s="577">
        <f>COUNTIF(MONTENEGRO!$M383:$M415,"training")/24</f>
        <v>0</v>
      </c>
      <c r="AO11" s="577">
        <f>COUNTIF(MONTENEGRO!$M383:$M415,"legal")/24</f>
        <v>0</v>
      </c>
      <c r="AP11" s="577">
        <f>COUNTIF(MONTENEGRO!$M383:$M415,"investment")/24</f>
        <v>0</v>
      </c>
      <c r="AQ11" s="578">
        <f>SUM(MONTENEGRO!$O382:$O415)</f>
        <v>0</v>
      </c>
      <c r="AS11" s="51" t="s">
        <v>24</v>
      </c>
      <c r="AT11" s="52" t="s">
        <v>25</v>
      </c>
      <c r="AU11" s="576">
        <f>COUNTIF(TUNISIA!$J383:$J415,"en cours")/24</f>
        <v>0</v>
      </c>
      <c r="AV11" s="577">
        <f>COUNTIF(TUNISIA!$J383:$J415,"terminé")/24</f>
        <v>0</v>
      </c>
      <c r="AW11" s="577">
        <f>COUNTIF(TUNISIA!$J383:$J415,"pas commencé")/24</f>
        <v>1</v>
      </c>
      <c r="AX11" s="577">
        <f>COUNTIF(TUNISIA!$M383:$M415,"technique")/24</f>
        <v>0</v>
      </c>
      <c r="AY11" s="577">
        <f>COUNTIF(TUNISIA!$M383:$M415,"formation")/24</f>
        <v>0</v>
      </c>
      <c r="AZ11" s="577">
        <f>COUNTIF(TUNISIA!$M383:$M415,"légale")/24</f>
        <v>0</v>
      </c>
      <c r="BA11" s="577">
        <f>COUNTIF(TUNISIA!$M383:$M415,"investissement")/24</f>
        <v>0</v>
      </c>
      <c r="BB11" s="578">
        <f>SUM(TUNISIA!$O382:$O415)</f>
        <v>0</v>
      </c>
      <c r="BD11" s="51" t="s">
        <v>24</v>
      </c>
      <c r="BE11" s="52" t="s">
        <v>25</v>
      </c>
      <c r="BF11" s="576">
        <f>COUNTIF(Türkiye!$J383:$J415,"In Progress")/24</f>
        <v>0.29166666666666669</v>
      </c>
      <c r="BG11" s="577">
        <f>COUNTIF(Türkiye!$J383:$J415,"completed")/24</f>
        <v>0.66666666666666663</v>
      </c>
      <c r="BH11" s="577">
        <f>COUNTIF(Türkiye!$J383:$J415,"Not started")/24</f>
        <v>4.1666666666666664E-2</v>
      </c>
      <c r="BI11" s="577">
        <f>COUNTIF(Türkiye!$M383:$M415,"tECHNICAL")/24</f>
        <v>0.125</v>
      </c>
      <c r="BJ11" s="577">
        <f>COUNTIF(Türkiye!$M383:$M415,"training")/24</f>
        <v>0</v>
      </c>
      <c r="BK11" s="577">
        <f>COUNTIF(Türkiye!$M383:$M415,"legal")/24</f>
        <v>4.1666666666666664E-2</v>
      </c>
      <c r="BL11" s="577">
        <f>COUNTIF(Türkiye!$M383:$M415,"investment")/24</f>
        <v>0</v>
      </c>
      <c r="BM11" s="578">
        <f>SUM(Türkiye!$O382:$O415)</f>
        <v>0</v>
      </c>
    </row>
    <row r="12" spans="1:65" s="59" customFormat="1" ht="63.75" thickBot="1">
      <c r="A12" s="53" t="s">
        <v>26</v>
      </c>
      <c r="B12" s="54" t="s">
        <v>27</v>
      </c>
      <c r="C12" s="579">
        <f>COUNTIF(ALBANIA!$J417:$J432,"In Progress")/4</f>
        <v>0.25</v>
      </c>
      <c r="D12" s="580">
        <f>COUNTIF(ALBANIA!$J417:$J432,"completed")/4</f>
        <v>0</v>
      </c>
      <c r="E12" s="580">
        <f>COUNTIF(ALBANIA!$J417:$J432,"Not started")/4</f>
        <v>0.75</v>
      </c>
      <c r="F12" s="580">
        <f>COUNTIF(ALBANIA!$M417:$M432,"tECHNICAL")/4</f>
        <v>0.25</v>
      </c>
      <c r="G12" s="580">
        <f>COUNTIF(ALBANIA!$M417:$M432,"training")/4</f>
        <v>0.75</v>
      </c>
      <c r="H12" s="580">
        <f>COUNTIF(ALBANIA!$M417:$M432,"legal")/4</f>
        <v>0</v>
      </c>
      <c r="I12" s="580">
        <f>COUNTIF(ALBANIA!$M417:$M432,"investment")/4</f>
        <v>0</v>
      </c>
      <c r="J12" s="581">
        <f>SUM(ALBANIA!$O417:$O432)</f>
        <v>0</v>
      </c>
      <c r="L12" s="312" t="s">
        <v>26</v>
      </c>
      <c r="M12" s="313" t="s">
        <v>27</v>
      </c>
      <c r="N12" s="579">
        <f>COUNTIF(BandH!$J417:$J432,"In Progress")/4</f>
        <v>0</v>
      </c>
      <c r="O12" s="580">
        <f>COUNTIF(BandH!$J417:$J432,"completed")/4</f>
        <v>0</v>
      </c>
      <c r="P12" s="580">
        <f>COUNTIF(BandH!$J417:$J432,"Not started")/4</f>
        <v>1</v>
      </c>
      <c r="Q12" s="580">
        <f>COUNTIF(BandH!$M417:$M432,"tECHNICAL")/4</f>
        <v>0</v>
      </c>
      <c r="R12" s="580">
        <f>COUNTIF(BandH!$M417:$M432,"training")/4</f>
        <v>0</v>
      </c>
      <c r="S12" s="580">
        <f>COUNTIF(BandH!$M417:$M432,"legal")/4</f>
        <v>0</v>
      </c>
      <c r="T12" s="580">
        <f>COUNTIF(BandH!$M417:$M432,"investment")/4</f>
        <v>0</v>
      </c>
      <c r="U12" s="581">
        <f>SUM(BandH!$O417:$O432)</f>
        <v>0</v>
      </c>
      <c r="W12" s="53" t="s">
        <v>26</v>
      </c>
      <c r="X12" s="54" t="s">
        <v>27</v>
      </c>
      <c r="Y12" s="579">
        <f>COUNTIF(ISRAEL!$J417:$J432,"In Progress")/4</f>
        <v>0</v>
      </c>
      <c r="Z12" s="580">
        <f>COUNTIF(ISRAEL!$J417:$J432,"completed")/4</f>
        <v>1</v>
      </c>
      <c r="AA12" s="580">
        <f>COUNTIF(ISRAEL!$J417:$J432,"Not started")/4</f>
        <v>0</v>
      </c>
      <c r="AB12" s="580">
        <f>COUNTIF(ISRAEL!$M417:$M432,"tECHNICAL")/4</f>
        <v>0</v>
      </c>
      <c r="AC12" s="580">
        <f>COUNTIF(ISRAEL!$M417:$M432,"training")/4</f>
        <v>0</v>
      </c>
      <c r="AD12" s="580">
        <f>COUNTIF(ISRAEL!$M417:$M432,"legal")/4</f>
        <v>0</v>
      </c>
      <c r="AE12" s="580">
        <f>COUNTIF(ISRAEL!$M417:$M432,"investment")/4</f>
        <v>0</v>
      </c>
      <c r="AF12" s="581">
        <f>SUM(ISRAEL!$O417:$O432)</f>
        <v>0</v>
      </c>
      <c r="AH12" s="53" t="s">
        <v>26</v>
      </c>
      <c r="AI12" s="54" t="s">
        <v>27</v>
      </c>
      <c r="AJ12" s="579">
        <f>COUNTIF(MONTENEGRO!$J417:$J432,"In Progress")/4</f>
        <v>0.25</v>
      </c>
      <c r="AK12" s="580">
        <f>COUNTIF(MONTENEGRO!$J417:$J432,"completed")/4</f>
        <v>0</v>
      </c>
      <c r="AL12" s="580">
        <f>COUNTIF(MONTENEGRO!$J417:$J432,"Not started")/4</f>
        <v>0.75</v>
      </c>
      <c r="AM12" s="580">
        <f>COUNTIF(MONTENEGRO!$M417:$M432,"tECHNICAL")/4</f>
        <v>0</v>
      </c>
      <c r="AN12" s="580">
        <f>COUNTIF(MONTENEGRO!$M417:$M432,"training")/4</f>
        <v>0</v>
      </c>
      <c r="AO12" s="580">
        <f>COUNTIF(MONTENEGRO!$M417:$M432,"legal")/4</f>
        <v>0</v>
      </c>
      <c r="AP12" s="580">
        <f>COUNTIF(MONTENEGRO!$M417:$M432,"investment")/4</f>
        <v>0</v>
      </c>
      <c r="AQ12" s="581">
        <f>SUM(MONTENEGRO!$O417:$O432)</f>
        <v>0</v>
      </c>
      <c r="AS12" s="53" t="s">
        <v>26</v>
      </c>
      <c r="AT12" s="54" t="s">
        <v>27</v>
      </c>
      <c r="AU12" s="579">
        <f>COUNTIF(TUNISIA!$J417:$J432,"en cours")/4</f>
        <v>0</v>
      </c>
      <c r="AV12" s="580">
        <f>COUNTIF(TUNISIA!$J417:$J432,"terminé")/4</f>
        <v>0</v>
      </c>
      <c r="AW12" s="580">
        <f>COUNTIF(TUNISIA!$J417:$J432,"pas commencé")/4</f>
        <v>1</v>
      </c>
      <c r="AX12" s="580">
        <f>COUNTIF(TUNISIA!$M417:$M432,"technique")/4</f>
        <v>0</v>
      </c>
      <c r="AY12" s="580">
        <f>COUNTIF(TUNISIA!$M417:$M432,"formation")/4</f>
        <v>0</v>
      </c>
      <c r="AZ12" s="580">
        <f>COUNTIF(TUNISIA!$M417:$M432,"légale")/4</f>
        <v>0</v>
      </c>
      <c r="BA12" s="580">
        <f>COUNTIF(TUNISIA!$M417:$M432,"investissement")/4</f>
        <v>0</v>
      </c>
      <c r="BB12" s="581">
        <f>SUM(TUNISIA!$O417:$O432)</f>
        <v>0</v>
      </c>
      <c r="BD12" s="53" t="s">
        <v>26</v>
      </c>
      <c r="BE12" s="54" t="s">
        <v>27</v>
      </c>
      <c r="BF12" s="579">
        <f>COUNTIF(Türkiye!$J417:$J432,"In Progress")/4</f>
        <v>1</v>
      </c>
      <c r="BG12" s="580">
        <f>COUNTIF(Türkiye!$J417:$J432,"completed")/4</f>
        <v>0</v>
      </c>
      <c r="BH12" s="580">
        <f>COUNTIF(Türkiye!$J417:$J432,"Not started")/4</f>
        <v>0</v>
      </c>
      <c r="BI12" s="580">
        <f>COUNTIF(Türkiye!$M417:$M432,"tECHNICAL")/4</f>
        <v>0.75</v>
      </c>
      <c r="BJ12" s="580">
        <f>COUNTIF(Türkiye!$M417:$M432,"training")/4</f>
        <v>0</v>
      </c>
      <c r="BK12" s="580">
        <f>COUNTIF(Türkiye!$M417:$M432,"legal")/4</f>
        <v>0.25</v>
      </c>
      <c r="BL12" s="580">
        <f>COUNTIF(Türkiye!$M417:$M432,"investment")/4</f>
        <v>0</v>
      </c>
      <c r="BM12" s="581">
        <f>SUM(Türkiye!$O417:$O432)</f>
        <v>0</v>
      </c>
    </row>
    <row r="13" spans="1:65" s="59" customFormat="1" ht="16.5" thickBot="1">
      <c r="A13" s="50" t="s">
        <v>4069</v>
      </c>
      <c r="B13" s="50"/>
      <c r="C13" s="579">
        <f>COUNTIF(ALBANIA!$J3:$J433,"In Progress")/345</f>
        <v>0.30144927536231886</v>
      </c>
      <c r="D13" s="580">
        <f>COUNTIF(ALBANIA!$J3:$J433,"completed")/345</f>
        <v>0.19420289855072465</v>
      </c>
      <c r="E13" s="580">
        <f>COUNTIF(ALBANIA!$J3:$J433,"Not started")/345</f>
        <v>0.50144927536231887</v>
      </c>
      <c r="F13" s="580">
        <f>COUNTIF(ALBANIA!$M3:$M433,"tECHNICAL")/345</f>
        <v>0.15072463768115943</v>
      </c>
      <c r="G13" s="580">
        <f>COUNTIF(ALBANIA!$M3:$M433,"training")/345</f>
        <v>0.40869565217391307</v>
      </c>
      <c r="H13" s="580">
        <f>COUNTIF(ALBANIA!$M3:$M433,"legal")/345</f>
        <v>0.17101449275362318</v>
      </c>
      <c r="I13" s="580">
        <f>COUNTIF(ALBANIA!$M3:$M433,"investment")/345</f>
        <v>3.7681159420289857E-2</v>
      </c>
      <c r="J13" s="581">
        <f>SUM(ALBANIA!$O3:$O433)</f>
        <v>0</v>
      </c>
      <c r="L13" s="50" t="s">
        <v>4069</v>
      </c>
      <c r="M13" s="50"/>
      <c r="N13" s="579">
        <f>COUNTIF(BandH!$J3:$J433,"In Progress")/345</f>
        <v>4.6376811594202899E-2</v>
      </c>
      <c r="O13" s="580">
        <f>COUNTIF(BandH!$J3:$J433,"completed")/345</f>
        <v>0</v>
      </c>
      <c r="P13" s="580">
        <f>COUNTIF(BandH!$J3:$J433,"Not started")/345</f>
        <v>0.94492753623188408</v>
      </c>
      <c r="Q13" s="580">
        <f>COUNTIF(BandH!$M3:$M433,"tECHNICAL")/345</f>
        <v>5.2173913043478258E-2</v>
      </c>
      <c r="R13" s="580">
        <f>COUNTIF(BandH!$M3:$M433,"training")/345</f>
        <v>0.35072463768115941</v>
      </c>
      <c r="S13" s="580">
        <f>COUNTIF(BandH!$M3:$M433,"legal")/345</f>
        <v>6.6666666666666666E-2</v>
      </c>
      <c r="T13" s="580">
        <f>COUNTIF(BandH!$M3:$M433,"investment")/345</f>
        <v>1.1594202898550725E-2</v>
      </c>
      <c r="U13" s="581">
        <f>SUM(BandH!$O3:$O433)</f>
        <v>622800</v>
      </c>
      <c r="W13" s="50" t="s">
        <v>4069</v>
      </c>
      <c r="X13" s="50"/>
      <c r="Y13" s="579">
        <f>COUNTIF(ISRAEL!$J3:$J433,"In Progress")/345</f>
        <v>0.11594202898550725</v>
      </c>
      <c r="Z13" s="580">
        <f>COUNTIF(ISRAEL!$J3:$J433,"completed")/345</f>
        <v>0.59420289855072461</v>
      </c>
      <c r="AA13" s="580">
        <f>COUNTIF(ISRAEL!$J3:$J433,"Not started")/345</f>
        <v>0.27826086956521739</v>
      </c>
      <c r="AB13" s="580">
        <f>COUNTIF(ISRAEL!$M3:$M433,"tECHNICAL")/345</f>
        <v>0.1391304347826087</v>
      </c>
      <c r="AC13" s="580">
        <f>COUNTIF(ISRAEL!$M3:$M433,"training")/345</f>
        <v>8.9855072463768115E-2</v>
      </c>
      <c r="AD13" s="580">
        <f>COUNTIF(ISRAEL!$M3:$M433,"legal")/345</f>
        <v>6.3768115942028983E-2</v>
      </c>
      <c r="AE13" s="580">
        <f>COUNTIF(ISRAEL!$M3:$M433,"investment")/345</f>
        <v>5.7971014492753624E-2</v>
      </c>
      <c r="AF13" s="581">
        <f>SUM(ISRAEL!$O3:$O433)</f>
        <v>0</v>
      </c>
      <c r="AH13" s="50" t="s">
        <v>4069</v>
      </c>
      <c r="AI13" s="50"/>
      <c r="AJ13" s="579">
        <f>COUNTIF(MONTENEGRO!$J3:$J433,"In Progress")/345</f>
        <v>0.2608695652173913</v>
      </c>
      <c r="AK13" s="580">
        <f>COUNTIF(MONTENEGRO!$J3:$J433,"completed")/345</f>
        <v>0.2</v>
      </c>
      <c r="AL13" s="580">
        <f>COUNTIF(MONTENEGRO!$J3:$J433,"Not started")/345</f>
        <v>0.53623188405797106</v>
      </c>
      <c r="AM13" s="580">
        <f>COUNTIF(MONTENEGRO!$M3:$M433,"tECHNICAL")/345</f>
        <v>0</v>
      </c>
      <c r="AN13" s="580">
        <f>COUNTIF(MONTENEGRO!$M3:$M433,"training")/345</f>
        <v>0</v>
      </c>
      <c r="AO13" s="580">
        <f>COUNTIF(MONTENEGRO!$M3:$M433,"legal")/345</f>
        <v>0</v>
      </c>
      <c r="AP13" s="580">
        <f>COUNTIF(MONTENEGRO!$M3:$M433,"investment")/345</f>
        <v>2.8985507246376812E-3</v>
      </c>
      <c r="AQ13" s="581">
        <f>SUM(MONTENEGRO!$O3:$O433)</f>
        <v>0</v>
      </c>
      <c r="AS13" s="50" t="s">
        <v>4069</v>
      </c>
      <c r="AT13" s="50"/>
      <c r="AU13" s="579">
        <f>COUNTIF(TUNISIA!$J3:$J433,"In Progress")/345</f>
        <v>0</v>
      </c>
      <c r="AV13" s="580">
        <f>COUNTIF(TUNISIA!$J3:$J433,"completed")/345</f>
        <v>0</v>
      </c>
      <c r="AW13" s="580">
        <f>COUNTIF(TUNISIA!$J3:$J433,"Not started")/345</f>
        <v>0</v>
      </c>
      <c r="AX13" s="580">
        <f>COUNTIF(TUNISIA!$M3:$M433,"tECHNICAL")/345</f>
        <v>0</v>
      </c>
      <c r="AY13" s="580">
        <f>COUNTIF(TUNISIA!$M3:$M433,"training")/345</f>
        <v>0</v>
      </c>
      <c r="AZ13" s="580">
        <f>COUNTIF(TUNISIA!$M3:$M433,"legal")/345</f>
        <v>0</v>
      </c>
      <c r="BA13" s="580">
        <f>COUNTIF(TUNISIA!$M3:$M433,"investment")/345</f>
        <v>0</v>
      </c>
      <c r="BB13" s="581">
        <f>SUM(TUNISIA!$O3:$O433)</f>
        <v>0</v>
      </c>
      <c r="BD13" s="614" t="s">
        <v>4069</v>
      </c>
      <c r="BE13" s="615"/>
      <c r="BF13" s="579">
        <f>COUNTIF(Türkiye!$J3:$J433,"In Progress")/345</f>
        <v>0.34202898550724636</v>
      </c>
      <c r="BG13" s="580">
        <f>COUNTIF(Türkiye!$J3:$J433,"completed")/345</f>
        <v>0.58840579710144925</v>
      </c>
      <c r="BH13" s="580">
        <f>COUNTIF(Türkiye!$J3:$J433,"Not started")/345</f>
        <v>7.2463768115942032E-2</v>
      </c>
      <c r="BI13" s="580">
        <f>COUNTIF(Türkiye!$M3:$M433,"tECHNICAL")/345</f>
        <v>0.2</v>
      </c>
      <c r="BJ13" s="580">
        <f>COUNTIF(Türkiye!$M3:$M433,"training")/345</f>
        <v>6.0869565217391307E-2</v>
      </c>
      <c r="BK13" s="580">
        <f>COUNTIF(Türkiye!$M3:$M433,"legal")/345</f>
        <v>7.5362318840579715E-2</v>
      </c>
      <c r="BL13" s="580">
        <f>COUNTIF(Türkiye!$M3:$M433,"investment")/345</f>
        <v>2.8985507246376812E-3</v>
      </c>
      <c r="BM13" s="581">
        <f>SUM(Türkiye!$O3:$O433)</f>
        <v>0</v>
      </c>
    </row>
    <row r="14" spans="1:65" s="59" customFormat="1"/>
    <row r="15" spans="1:65" s="59" customFormat="1" ht="19.5" customHeight="1">
      <c r="B15" s="4" t="s">
        <v>4063</v>
      </c>
    </row>
    <row r="16" spans="1:65" s="59" customFormat="1" ht="32.450000000000003" customHeight="1">
      <c r="A16" s="4" t="s">
        <v>4061</v>
      </c>
      <c r="B16" s="623" t="s">
        <v>4062</v>
      </c>
      <c r="C16" s="623" t="s">
        <v>4064</v>
      </c>
      <c r="D16" s="623" t="s">
        <v>4065</v>
      </c>
      <c r="E16" s="623" t="s">
        <v>4066</v>
      </c>
      <c r="F16" s="623" t="s">
        <v>4067</v>
      </c>
      <c r="G16" s="623" t="s">
        <v>4068</v>
      </c>
      <c r="I16" s="50" t="str">
        <f>B15</f>
        <v>% of actions not started</v>
      </c>
      <c r="J16" s="50" t="s">
        <v>4072</v>
      </c>
    </row>
    <row r="17" spans="1:10" s="59" customFormat="1" ht="15.75">
      <c r="A17" s="51" t="s">
        <v>14</v>
      </c>
      <c r="B17" s="597">
        <f>E6</f>
        <v>0.44800000000000001</v>
      </c>
      <c r="C17" s="597">
        <f>P6</f>
        <v>0.88</v>
      </c>
      <c r="D17" s="597">
        <f>AA6</f>
        <v>0.2</v>
      </c>
      <c r="E17" s="597">
        <f>AL6</f>
        <v>0.47199999999999998</v>
      </c>
      <c r="F17" s="597">
        <f>AW6</f>
        <v>0.17599999999999999</v>
      </c>
      <c r="G17" s="597">
        <f>BH6</f>
        <v>0.08</v>
      </c>
      <c r="I17" s="50" t="str">
        <f>A17</f>
        <v xml:space="preserve">CSO 1 </v>
      </c>
      <c r="J17" s="624">
        <f>AVERAGE(B17:G17)</f>
        <v>0.37600000000000006</v>
      </c>
    </row>
    <row r="18" spans="1:10" s="59" customFormat="1" ht="15.75">
      <c r="A18" s="51" t="s">
        <v>16</v>
      </c>
      <c r="B18" s="597">
        <f t="shared" ref="B18:B23" si="0">E7</f>
        <v>0.84</v>
      </c>
      <c r="C18" s="597">
        <f t="shared" ref="C18:C23" si="1">P7</f>
        <v>1</v>
      </c>
      <c r="D18" s="597">
        <f t="shared" ref="D18:D23" si="2">AA7</f>
        <v>0.28000000000000003</v>
      </c>
      <c r="E18" s="597">
        <f t="shared" ref="E18:E23" si="3">AL7</f>
        <v>0.57999999999999996</v>
      </c>
      <c r="F18" s="597">
        <f t="shared" ref="F18:F23" si="4">AW7</f>
        <v>0.78</v>
      </c>
      <c r="G18" s="597">
        <f t="shared" ref="G18:G23" si="5">BH7</f>
        <v>0.06</v>
      </c>
      <c r="I18" s="50" t="str">
        <f t="shared" ref="I18:I24" si="6">A18</f>
        <v>CSO 2</v>
      </c>
      <c r="J18" s="624">
        <f t="shared" ref="J18:J24" si="7">AVERAGE(B18:G18)</f>
        <v>0.59000000000000008</v>
      </c>
    </row>
    <row r="19" spans="1:10" s="59" customFormat="1" ht="15.75">
      <c r="A19" s="51" t="s">
        <v>18</v>
      </c>
      <c r="B19" s="597">
        <f t="shared" si="0"/>
        <v>0.76470588235294112</v>
      </c>
      <c r="C19" s="597">
        <f t="shared" si="1"/>
        <v>1</v>
      </c>
      <c r="D19" s="597">
        <f t="shared" si="2"/>
        <v>8.8235294117647065E-2</v>
      </c>
      <c r="E19" s="597">
        <f t="shared" si="3"/>
        <v>0.38235294117647056</v>
      </c>
      <c r="F19" s="597">
        <f t="shared" si="4"/>
        <v>0.82352941176470584</v>
      </c>
      <c r="G19" s="597">
        <f t="shared" si="5"/>
        <v>5.8823529411764705E-2</v>
      </c>
      <c r="I19" s="50" t="str">
        <f t="shared" si="6"/>
        <v>CSO 3</v>
      </c>
      <c r="J19" s="624">
        <f t="shared" si="7"/>
        <v>0.51960784313725483</v>
      </c>
    </row>
    <row r="20" spans="1:10" s="59" customFormat="1" ht="15.75">
      <c r="A20" s="51" t="s">
        <v>20</v>
      </c>
      <c r="B20" s="597">
        <f t="shared" si="0"/>
        <v>0.46296296296296297</v>
      </c>
      <c r="C20" s="597">
        <f t="shared" si="1"/>
        <v>1</v>
      </c>
      <c r="D20" s="597">
        <f t="shared" si="2"/>
        <v>0.29629629629629628</v>
      </c>
      <c r="E20" s="597">
        <f t="shared" si="3"/>
        <v>0.57407407407407407</v>
      </c>
      <c r="F20" s="597">
        <f t="shared" si="4"/>
        <v>0.98148148148148151</v>
      </c>
      <c r="G20" s="597">
        <f t="shared" si="5"/>
        <v>9.2592592592592587E-2</v>
      </c>
      <c r="I20" s="50" t="str">
        <f t="shared" si="6"/>
        <v>CSO 4</v>
      </c>
      <c r="J20" s="624">
        <f t="shared" si="7"/>
        <v>0.5679012345679012</v>
      </c>
    </row>
    <row r="21" spans="1:10" s="59" customFormat="1" ht="15.75">
      <c r="A21" s="51" t="s">
        <v>22</v>
      </c>
      <c r="B21" s="597">
        <f t="shared" si="0"/>
        <v>0.25925925925925924</v>
      </c>
      <c r="C21" s="597">
        <f t="shared" si="1"/>
        <v>0.98148148148148151</v>
      </c>
      <c r="D21" s="597">
        <f t="shared" si="2"/>
        <v>0.62962962962962965</v>
      </c>
      <c r="E21" s="597">
        <f t="shared" si="3"/>
        <v>0.68518518518518523</v>
      </c>
      <c r="F21" s="597">
        <f t="shared" si="4"/>
        <v>1</v>
      </c>
      <c r="G21" s="597">
        <f t="shared" si="5"/>
        <v>7.407407407407407E-2</v>
      </c>
      <c r="I21" s="50" t="str">
        <f t="shared" si="6"/>
        <v>CSO 5</v>
      </c>
      <c r="J21" s="624">
        <f t="shared" si="7"/>
        <v>0.60493827160493818</v>
      </c>
    </row>
    <row r="22" spans="1:10" s="59" customFormat="1" ht="15.75">
      <c r="A22" s="51" t="s">
        <v>24</v>
      </c>
      <c r="B22" s="597">
        <f t="shared" si="0"/>
        <v>0.29166666666666669</v>
      </c>
      <c r="C22" s="597">
        <f t="shared" si="1"/>
        <v>0.875</v>
      </c>
      <c r="D22" s="597">
        <f t="shared" si="2"/>
        <v>0.16666666666666666</v>
      </c>
      <c r="E22" s="597">
        <f t="shared" si="3"/>
        <v>0.54166666666666663</v>
      </c>
      <c r="F22" s="597">
        <f t="shared" si="4"/>
        <v>1</v>
      </c>
      <c r="G22" s="597">
        <f t="shared" si="5"/>
        <v>4.1666666666666664E-2</v>
      </c>
      <c r="I22" s="50" t="str">
        <f t="shared" si="6"/>
        <v>CSO 6</v>
      </c>
      <c r="J22" s="624">
        <f t="shared" si="7"/>
        <v>0.4861111111111111</v>
      </c>
    </row>
    <row r="23" spans="1:10" s="59" customFormat="1" ht="16.5" thickBot="1">
      <c r="A23" s="53" t="s">
        <v>26</v>
      </c>
      <c r="B23" s="597">
        <f t="shared" si="0"/>
        <v>0.75</v>
      </c>
      <c r="C23" s="597">
        <f t="shared" si="1"/>
        <v>1</v>
      </c>
      <c r="D23" s="597">
        <f t="shared" si="2"/>
        <v>0</v>
      </c>
      <c r="E23" s="597">
        <f t="shared" si="3"/>
        <v>0.75</v>
      </c>
      <c r="F23" s="597">
        <f t="shared" si="4"/>
        <v>1</v>
      </c>
      <c r="G23" s="597">
        <f t="shared" si="5"/>
        <v>0</v>
      </c>
      <c r="I23" s="50" t="str">
        <f t="shared" si="6"/>
        <v>CSO 7</v>
      </c>
      <c r="J23" s="624">
        <f t="shared" si="7"/>
        <v>0.58333333333333337</v>
      </c>
    </row>
    <row r="24" spans="1:10" s="59" customFormat="1">
      <c r="A24" s="50" t="s">
        <v>4069</v>
      </c>
      <c r="B24" s="597">
        <f t="shared" ref="B24" si="8">E13</f>
        <v>0.50144927536231887</v>
      </c>
      <c r="C24" s="597">
        <f t="shared" ref="C24" si="9">P13</f>
        <v>0.94492753623188408</v>
      </c>
      <c r="D24" s="597">
        <f t="shared" ref="D24" si="10">AA13</f>
        <v>0.27826086956521739</v>
      </c>
      <c r="E24" s="597">
        <f t="shared" ref="E24" si="11">AL13</f>
        <v>0.53623188405797106</v>
      </c>
      <c r="F24" s="597">
        <f t="shared" ref="F24" si="12">AW13</f>
        <v>0</v>
      </c>
      <c r="G24" s="597">
        <f t="shared" ref="G24" si="13">BH13</f>
        <v>7.2463768115942032E-2</v>
      </c>
      <c r="I24" s="50" t="str">
        <f t="shared" si="6"/>
        <v>All Action</v>
      </c>
      <c r="J24" s="624">
        <f t="shared" si="7"/>
        <v>0.38888888888888884</v>
      </c>
    </row>
    <row r="25" spans="1:10" s="59" customFormat="1"/>
    <row r="26" spans="1:10" s="59" customFormat="1"/>
    <row r="27" spans="1:10" s="59" customFormat="1">
      <c r="B27" s="4" t="s">
        <v>4070</v>
      </c>
    </row>
    <row r="28" spans="1:10" s="59" customFormat="1">
      <c r="A28" s="4" t="s">
        <v>4061</v>
      </c>
      <c r="B28" s="4" t="s">
        <v>9</v>
      </c>
      <c r="C28" s="4" t="s">
        <v>10</v>
      </c>
      <c r="D28" s="4" t="s">
        <v>11</v>
      </c>
      <c r="E28" s="4" t="s">
        <v>12</v>
      </c>
    </row>
    <row r="29" spans="1:10" s="59" customFormat="1" ht="15.75">
      <c r="A29" s="51" t="s">
        <v>14</v>
      </c>
      <c r="B29" s="617">
        <f>SUM(F6,Q6,AB6,AM6,AX6,BI6)*125</f>
        <v>86</v>
      </c>
      <c r="C29" s="617">
        <f t="shared" ref="C29:E29" si="14">SUM(G6,R6,AC6,AN6,AY6,BJ6)*125</f>
        <v>133</v>
      </c>
      <c r="D29" s="617">
        <f t="shared" si="14"/>
        <v>31</v>
      </c>
      <c r="E29" s="617">
        <f t="shared" si="14"/>
        <v>18</v>
      </c>
    </row>
    <row r="30" spans="1:10" s="59" customFormat="1" ht="15.75">
      <c r="A30" s="51" t="s">
        <v>16</v>
      </c>
      <c r="B30" s="617">
        <f>SUM(F7,Q7,AB7,AM7,AX7,BI7)*50</f>
        <v>21</v>
      </c>
      <c r="C30" s="617">
        <f>SUM(G7,R7,AC7,AN7,AY7,BJ7)*50</f>
        <v>53</v>
      </c>
      <c r="D30" s="617">
        <f t="shared" ref="D30:E30" si="15">SUM(H7,S7,AD7,AO7,AZ7,BK7)*50</f>
        <v>23</v>
      </c>
      <c r="E30" s="617">
        <f t="shared" si="15"/>
        <v>8</v>
      </c>
    </row>
    <row r="31" spans="1:10" s="59" customFormat="1" ht="15.75">
      <c r="A31" s="51" t="s">
        <v>18</v>
      </c>
      <c r="B31" s="617">
        <f>SUM(F8,Q8,AB8,AM8,AX8,BI8)*34</f>
        <v>7</v>
      </c>
      <c r="C31" s="617">
        <f t="shared" ref="C31:E31" si="16">SUM(G8,R8,AC8,AN8,AY8,BJ8)*34</f>
        <v>23</v>
      </c>
      <c r="D31" s="617">
        <f t="shared" si="16"/>
        <v>24</v>
      </c>
      <c r="E31" s="617">
        <f t="shared" si="16"/>
        <v>6</v>
      </c>
    </row>
    <row r="32" spans="1:10" s="59" customFormat="1" ht="15.75">
      <c r="A32" s="51" t="s">
        <v>20</v>
      </c>
      <c r="B32" s="617">
        <f>SUM(F9,Q9,AB9,AM9,AX9,BI9)*54</f>
        <v>26</v>
      </c>
      <c r="C32" s="617">
        <f t="shared" ref="C32:E32" si="17">SUM(G9,R9,AC9,AN9,AY9,BJ9)*54</f>
        <v>60.999999999999993</v>
      </c>
      <c r="D32" s="617">
        <f t="shared" si="17"/>
        <v>10</v>
      </c>
      <c r="E32" s="617">
        <f t="shared" si="17"/>
        <v>5</v>
      </c>
    </row>
    <row r="33" spans="1:5" s="59" customFormat="1" ht="15.75">
      <c r="A33" s="51" t="s">
        <v>22</v>
      </c>
      <c r="B33" s="617">
        <f>SUM(F10,Q10,AB10,AM10,AX10,BI10)*54</f>
        <v>44</v>
      </c>
      <c r="C33" s="617">
        <f t="shared" ref="C33:E33" si="18">SUM(G10,R10,AC10,AN10,AY10,BJ10)*54</f>
        <v>21.999999999999996</v>
      </c>
      <c r="D33" s="617">
        <f t="shared" si="18"/>
        <v>39</v>
      </c>
      <c r="E33" s="617">
        <f t="shared" si="18"/>
        <v>2</v>
      </c>
    </row>
    <row r="34" spans="1:5" s="59" customFormat="1" ht="15.75">
      <c r="A34" s="51" t="s">
        <v>24</v>
      </c>
      <c r="B34" s="617">
        <f>SUM(F11,Q11,AB11,AM11,AX11,BI11)*24</f>
        <v>9</v>
      </c>
      <c r="C34" s="617">
        <f t="shared" ref="C34:E34" si="19">SUM(G11,R11,AC11,AN11,AY11,BJ11)*24</f>
        <v>20</v>
      </c>
      <c r="D34" s="617">
        <f t="shared" si="19"/>
        <v>3</v>
      </c>
      <c r="E34" s="617">
        <f t="shared" si="19"/>
        <v>0</v>
      </c>
    </row>
    <row r="35" spans="1:5" s="59" customFormat="1" ht="16.5" thickBot="1">
      <c r="A35" s="53" t="s">
        <v>26</v>
      </c>
      <c r="B35" s="617">
        <f>SUM(F12,Q12,AB12,AM12,AX12,BI12)*4</f>
        <v>4</v>
      </c>
      <c r="C35" s="617">
        <f t="shared" ref="C35:E35" si="20">SUM(G12,R12,AC12,AN12,AY12,BJ12)*4</f>
        <v>3</v>
      </c>
      <c r="D35" s="617">
        <f t="shared" si="20"/>
        <v>1</v>
      </c>
      <c r="E35" s="617">
        <f t="shared" si="20"/>
        <v>0</v>
      </c>
    </row>
    <row r="36" spans="1:5" s="59" customFormat="1">
      <c r="A36" s="50" t="s">
        <v>4069</v>
      </c>
      <c r="B36" s="617">
        <f>SUM(F13,Q13,AB13,AM13,AX13,BI13)*345</f>
        <v>187.00000000000003</v>
      </c>
      <c r="C36" s="617">
        <f t="shared" ref="C36:E36" si="21">SUM(G13,R13,AC13,AN13,AY13,BJ13)*345</f>
        <v>314</v>
      </c>
      <c r="D36" s="617">
        <f t="shared" si="21"/>
        <v>129.99999999999997</v>
      </c>
      <c r="E36" s="617">
        <f t="shared" si="21"/>
        <v>39.000000000000007</v>
      </c>
    </row>
    <row r="37" spans="1:5" s="59" customFormat="1"/>
    <row r="38" spans="1:5" s="59" customFormat="1"/>
    <row r="39" spans="1:5" s="59" customFormat="1"/>
    <row r="40" spans="1:5" s="59" customFormat="1"/>
    <row r="41" spans="1:5" s="59" customFormat="1"/>
    <row r="42" spans="1:5" s="59" customFormat="1"/>
    <row r="43" spans="1:5" s="59" customFormat="1"/>
    <row r="44" spans="1:5" s="59" customFormat="1"/>
    <row r="45" spans="1:5" s="59" customFormat="1"/>
    <row r="46" spans="1:5" s="59" customFormat="1"/>
    <row r="47" spans="1:5" s="59" customFormat="1"/>
    <row r="48" spans="1:5" s="59" customFormat="1"/>
    <row r="49" s="59" customFormat="1"/>
    <row r="50" s="59" customFormat="1"/>
    <row r="51" s="59" customFormat="1"/>
    <row r="52" s="59" customFormat="1"/>
    <row r="53" s="59" customFormat="1"/>
    <row r="54" s="59" customFormat="1"/>
    <row r="55" s="59" customFormat="1"/>
    <row r="56" s="59" customFormat="1"/>
    <row r="57" s="59" customFormat="1"/>
    <row r="58" s="59" customFormat="1"/>
    <row r="59" s="59" customFormat="1"/>
    <row r="60" s="59" customFormat="1"/>
    <row r="61" s="59" customFormat="1"/>
    <row r="62" s="59" customFormat="1"/>
    <row r="63" s="59" customFormat="1"/>
    <row r="64" s="59" customFormat="1"/>
    <row r="65" s="59" customFormat="1"/>
    <row r="66" s="59" customFormat="1"/>
    <row r="67" s="59" customFormat="1"/>
    <row r="68" s="59" customFormat="1"/>
    <row r="69" s="59" customFormat="1"/>
    <row r="70" s="59" customFormat="1"/>
    <row r="71" s="59" customFormat="1"/>
    <row r="72" s="59" customFormat="1"/>
    <row r="73" s="59" customFormat="1"/>
    <row r="74" s="59" customFormat="1"/>
    <row r="75" s="59" customFormat="1"/>
    <row r="76" s="59" customFormat="1"/>
    <row r="77" s="59" customFormat="1"/>
    <row r="78" s="59" customFormat="1"/>
    <row r="79" s="59" customFormat="1"/>
    <row r="80" s="59" customFormat="1"/>
    <row r="81" s="59" customFormat="1"/>
    <row r="82" s="59" customFormat="1"/>
    <row r="83" s="59" customFormat="1"/>
    <row r="84" s="59" customFormat="1"/>
    <row r="85" s="59" customFormat="1"/>
    <row r="86" s="59" customFormat="1"/>
    <row r="87" s="59" customFormat="1"/>
    <row r="88" s="59" customFormat="1"/>
    <row r="89" s="59" customFormat="1"/>
    <row r="90" s="59" customFormat="1"/>
    <row r="91" s="59" customFormat="1"/>
    <row r="92" s="59" customFormat="1"/>
    <row r="93" s="59" customFormat="1"/>
    <row r="94" s="59" customFormat="1"/>
    <row r="95" s="59" customFormat="1"/>
    <row r="96" s="59" customFormat="1"/>
    <row r="97" s="59" customFormat="1"/>
    <row r="98" s="59" customFormat="1"/>
    <row r="99" s="59" customFormat="1"/>
    <row r="100" s="59" customFormat="1"/>
    <row r="101" s="59" customFormat="1"/>
    <row r="102" s="59" customFormat="1"/>
    <row r="103" s="59" customFormat="1"/>
    <row r="104" s="59" customFormat="1"/>
    <row r="105" s="59" customFormat="1"/>
    <row r="106" s="59" customFormat="1"/>
    <row r="107" s="59" customFormat="1"/>
    <row r="108" s="59" customFormat="1"/>
    <row r="109" s="59" customFormat="1"/>
    <row r="110" s="59" customFormat="1"/>
    <row r="111" s="59" customFormat="1"/>
    <row r="112" s="59" customFormat="1"/>
    <row r="113" spans="1:37" s="59" customFormat="1"/>
    <row r="114" spans="1:37" s="59" customFormat="1"/>
    <row r="115" spans="1:37" s="59" customFormat="1"/>
    <row r="116" spans="1:37" s="59" customFormat="1"/>
    <row r="117" spans="1:37" s="59" customFormat="1"/>
    <row r="118" spans="1:37" s="59" customFormat="1"/>
    <row r="119" spans="1:37" s="59" customFormat="1"/>
    <row r="120" spans="1:37" s="59" customFormat="1"/>
    <row r="121" spans="1:37">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row>
    <row r="122" spans="1:37">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row>
    <row r="123" spans="1:37">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row>
    <row r="124" spans="1:37">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row>
    <row r="125" spans="1:37">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row>
    <row r="126" spans="1:37">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row>
    <row r="127" spans="1:37">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row>
    <row r="128" spans="1:37">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row>
    <row r="129" spans="1:37">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row>
    <row r="130" spans="1:37">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row>
  </sheetData>
  <mergeCells count="30">
    <mergeCell ref="A3:J3"/>
    <mergeCell ref="B4:B5"/>
    <mergeCell ref="A4:A5"/>
    <mergeCell ref="C4:E4"/>
    <mergeCell ref="F4:I4"/>
    <mergeCell ref="L3:U3"/>
    <mergeCell ref="L4:L5"/>
    <mergeCell ref="M4:M5"/>
    <mergeCell ref="N4:P4"/>
    <mergeCell ref="Q4:T4"/>
    <mergeCell ref="W3:AF3"/>
    <mergeCell ref="W4:W5"/>
    <mergeCell ref="X4:X5"/>
    <mergeCell ref="Y4:AA4"/>
    <mergeCell ref="AB4:AE4"/>
    <mergeCell ref="AH3:AQ3"/>
    <mergeCell ref="AH4:AH5"/>
    <mergeCell ref="AI4:AI5"/>
    <mergeCell ref="AJ4:AL4"/>
    <mergeCell ref="AM4:AP4"/>
    <mergeCell ref="AS3:BB3"/>
    <mergeCell ref="AS4:AS5"/>
    <mergeCell ref="AT4:AT5"/>
    <mergeCell ref="AU4:AW4"/>
    <mergeCell ref="AX4:BA4"/>
    <mergeCell ref="BD3:BM3"/>
    <mergeCell ref="BD4:BD5"/>
    <mergeCell ref="BE4:BE5"/>
    <mergeCell ref="BF4:BH4"/>
    <mergeCell ref="BI4:BL4"/>
  </mergeCells>
  <conditionalFormatting sqref="N6:T12">
    <cfRule type="dataBar" priority="22">
      <dataBar>
        <cfvo type="min"/>
        <cfvo type="max"/>
        <color rgb="FF638EC6"/>
      </dataBar>
      <extLst>
        <ext xmlns:x14="http://schemas.microsoft.com/office/spreadsheetml/2009/9/main" uri="{B025F937-C7B1-47D3-B67F-A62EFF666E3E}">
          <x14:id>{A0048FA4-5596-4745-8038-0C9802AA0658}</x14:id>
        </ext>
      </extLst>
    </cfRule>
  </conditionalFormatting>
  <conditionalFormatting sqref="Y6:AF12">
    <cfRule type="dataBar" priority="19">
      <dataBar>
        <cfvo type="min"/>
        <cfvo type="max"/>
        <color rgb="FF638EC6"/>
      </dataBar>
      <extLst>
        <ext xmlns:x14="http://schemas.microsoft.com/office/spreadsheetml/2009/9/main" uri="{B025F937-C7B1-47D3-B67F-A62EFF666E3E}">
          <x14:id>{443C4A60-629A-4851-84EE-E836817AA36B}</x14:id>
        </ext>
      </extLst>
    </cfRule>
  </conditionalFormatting>
  <conditionalFormatting sqref="AJ6:AQ12">
    <cfRule type="dataBar" priority="18">
      <dataBar>
        <cfvo type="min"/>
        <cfvo type="max"/>
        <color rgb="FF638EC6"/>
      </dataBar>
      <extLst>
        <ext xmlns:x14="http://schemas.microsoft.com/office/spreadsheetml/2009/9/main" uri="{B025F937-C7B1-47D3-B67F-A62EFF666E3E}">
          <x14:id>{A7284B2D-B06A-41D8-BD5D-7997B83083E4}</x14:id>
        </ext>
      </extLst>
    </cfRule>
  </conditionalFormatting>
  <conditionalFormatting sqref="AU6:BB12">
    <cfRule type="dataBar" priority="17">
      <dataBar>
        <cfvo type="min"/>
        <cfvo type="max"/>
        <color rgb="FF638EC6"/>
      </dataBar>
      <extLst>
        <ext xmlns:x14="http://schemas.microsoft.com/office/spreadsheetml/2009/9/main" uri="{B025F937-C7B1-47D3-B67F-A62EFF666E3E}">
          <x14:id>{9DC1C195-78CC-4980-9A3E-B4CB405FBB54}</x14:id>
        </ext>
      </extLst>
    </cfRule>
  </conditionalFormatting>
  <conditionalFormatting sqref="BF6:BM12">
    <cfRule type="dataBar" priority="16">
      <dataBar>
        <cfvo type="min"/>
        <cfvo type="max"/>
        <color rgb="FF638EC6"/>
      </dataBar>
      <extLst>
        <ext xmlns:x14="http://schemas.microsoft.com/office/spreadsheetml/2009/9/main" uri="{B025F937-C7B1-47D3-B67F-A62EFF666E3E}">
          <x14:id>{4308B48E-1A3C-404A-B1AB-9C773A93F457}</x14:id>
        </ext>
      </extLst>
    </cfRule>
  </conditionalFormatting>
  <conditionalFormatting sqref="N13:U13">
    <cfRule type="dataBar" priority="14">
      <dataBar>
        <cfvo type="min"/>
        <cfvo type="max"/>
        <color rgb="FF638EC6"/>
      </dataBar>
      <extLst>
        <ext xmlns:x14="http://schemas.microsoft.com/office/spreadsheetml/2009/9/main" uri="{B025F937-C7B1-47D3-B67F-A62EFF666E3E}">
          <x14:id>{03CCF6AF-63D1-4A4E-99A3-E32C72AD37E6}</x14:id>
        </ext>
      </extLst>
    </cfRule>
  </conditionalFormatting>
  <conditionalFormatting sqref="Y13:AF13">
    <cfRule type="dataBar" priority="13">
      <dataBar>
        <cfvo type="min"/>
        <cfvo type="max"/>
        <color rgb="FF638EC6"/>
      </dataBar>
      <extLst>
        <ext xmlns:x14="http://schemas.microsoft.com/office/spreadsheetml/2009/9/main" uri="{B025F937-C7B1-47D3-B67F-A62EFF666E3E}">
          <x14:id>{E29495D8-56E2-412E-987A-FAE7535CD673}</x14:id>
        </ext>
      </extLst>
    </cfRule>
  </conditionalFormatting>
  <conditionalFormatting sqref="AJ13:AQ13">
    <cfRule type="dataBar" priority="12">
      <dataBar>
        <cfvo type="min"/>
        <cfvo type="max"/>
        <color rgb="FF638EC6"/>
      </dataBar>
      <extLst>
        <ext xmlns:x14="http://schemas.microsoft.com/office/spreadsheetml/2009/9/main" uri="{B025F937-C7B1-47D3-B67F-A62EFF666E3E}">
          <x14:id>{F398EBFC-F248-4964-BEF6-EFAF3E5B5A88}</x14:id>
        </ext>
      </extLst>
    </cfRule>
  </conditionalFormatting>
  <conditionalFormatting sqref="AU13:BB13">
    <cfRule type="dataBar" priority="11">
      <dataBar>
        <cfvo type="min"/>
        <cfvo type="max"/>
        <color rgb="FF638EC6"/>
      </dataBar>
      <extLst>
        <ext xmlns:x14="http://schemas.microsoft.com/office/spreadsheetml/2009/9/main" uri="{B025F937-C7B1-47D3-B67F-A62EFF666E3E}">
          <x14:id>{B2173BA9-18E8-491E-801E-C62C55904098}</x14:id>
        </ext>
      </extLst>
    </cfRule>
  </conditionalFormatting>
  <conditionalFormatting sqref="BF13:BM13">
    <cfRule type="dataBar" priority="10">
      <dataBar>
        <cfvo type="min"/>
        <cfvo type="max"/>
        <color rgb="FF638EC6"/>
      </dataBar>
      <extLst>
        <ext xmlns:x14="http://schemas.microsoft.com/office/spreadsheetml/2009/9/main" uri="{B025F937-C7B1-47D3-B67F-A62EFF666E3E}">
          <x14:id>{7492B7B4-79E5-4EB3-8EE9-036A304B3524}</x14:id>
        </ext>
      </extLst>
    </cfRule>
  </conditionalFormatting>
  <conditionalFormatting sqref="B17:G24">
    <cfRule type="colorScale" priority="9">
      <colorScale>
        <cfvo type="min"/>
        <cfvo type="max"/>
        <color rgb="FFFCFCFF"/>
        <color rgb="FFF8696B"/>
      </colorScale>
    </cfRule>
  </conditionalFormatting>
  <conditionalFormatting sqref="B29:E35">
    <cfRule type="colorScale" priority="3">
      <colorScale>
        <cfvo type="min"/>
        <cfvo type="max"/>
        <color rgb="FFFCFCFF"/>
        <color rgb="FF63BE7B"/>
      </colorScale>
    </cfRule>
  </conditionalFormatting>
  <conditionalFormatting sqref="C6:J13">
    <cfRule type="dataBar" priority="2">
      <dataBar>
        <cfvo type="min"/>
        <cfvo type="max"/>
        <color rgb="FF638EC6"/>
      </dataBar>
      <extLst>
        <ext xmlns:x14="http://schemas.microsoft.com/office/spreadsheetml/2009/9/main" uri="{B025F937-C7B1-47D3-B67F-A62EFF666E3E}">
          <x14:id>{2562C91B-5122-4CAE-A1F3-7BA30A35F670}</x14:id>
        </ext>
      </extLst>
    </cfRule>
  </conditionalFormatting>
  <conditionalFormatting sqref="J17:J24">
    <cfRule type="colorScale" priority="1">
      <colorScale>
        <cfvo type="min"/>
        <cfvo type="max"/>
        <color rgb="FFF8696B"/>
        <color rgb="FFFCFCFF"/>
      </colorScale>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0048FA4-5596-4745-8038-0C9802AA0658}">
            <x14:dataBar minLength="0" maxLength="100" gradient="0">
              <x14:cfvo type="autoMin"/>
              <x14:cfvo type="autoMax"/>
              <x14:negativeFillColor rgb="FFFF0000"/>
              <x14:axisColor rgb="FF000000"/>
            </x14:dataBar>
          </x14:cfRule>
          <xm:sqref>N6:T12</xm:sqref>
        </x14:conditionalFormatting>
        <x14:conditionalFormatting xmlns:xm="http://schemas.microsoft.com/office/excel/2006/main">
          <x14:cfRule type="dataBar" id="{443C4A60-629A-4851-84EE-E836817AA36B}">
            <x14:dataBar minLength="0" maxLength="100" gradient="0">
              <x14:cfvo type="autoMin"/>
              <x14:cfvo type="autoMax"/>
              <x14:negativeFillColor rgb="FFFF0000"/>
              <x14:axisColor rgb="FF000000"/>
            </x14:dataBar>
          </x14:cfRule>
          <xm:sqref>Y6:AF12</xm:sqref>
        </x14:conditionalFormatting>
        <x14:conditionalFormatting xmlns:xm="http://schemas.microsoft.com/office/excel/2006/main">
          <x14:cfRule type="dataBar" id="{A7284B2D-B06A-41D8-BD5D-7997B83083E4}">
            <x14:dataBar minLength="0" maxLength="100" gradient="0">
              <x14:cfvo type="autoMin"/>
              <x14:cfvo type="autoMax"/>
              <x14:negativeFillColor rgb="FFFF0000"/>
              <x14:axisColor rgb="FF000000"/>
            </x14:dataBar>
          </x14:cfRule>
          <xm:sqref>AJ6:AQ12</xm:sqref>
        </x14:conditionalFormatting>
        <x14:conditionalFormatting xmlns:xm="http://schemas.microsoft.com/office/excel/2006/main">
          <x14:cfRule type="dataBar" id="{9DC1C195-78CC-4980-9A3E-B4CB405FBB54}">
            <x14:dataBar minLength="0" maxLength="100" gradient="0">
              <x14:cfvo type="autoMin"/>
              <x14:cfvo type="autoMax"/>
              <x14:negativeFillColor rgb="FFFF0000"/>
              <x14:axisColor rgb="FF000000"/>
            </x14:dataBar>
          </x14:cfRule>
          <xm:sqref>AU6:BB12</xm:sqref>
        </x14:conditionalFormatting>
        <x14:conditionalFormatting xmlns:xm="http://schemas.microsoft.com/office/excel/2006/main">
          <x14:cfRule type="dataBar" id="{4308B48E-1A3C-404A-B1AB-9C773A93F457}">
            <x14:dataBar minLength="0" maxLength="100" gradient="0">
              <x14:cfvo type="autoMin"/>
              <x14:cfvo type="autoMax"/>
              <x14:negativeFillColor rgb="FFFF0000"/>
              <x14:axisColor rgb="FF000000"/>
            </x14:dataBar>
          </x14:cfRule>
          <xm:sqref>BF6:BM12</xm:sqref>
        </x14:conditionalFormatting>
        <x14:conditionalFormatting xmlns:xm="http://schemas.microsoft.com/office/excel/2006/main">
          <x14:cfRule type="dataBar" id="{03CCF6AF-63D1-4A4E-99A3-E32C72AD37E6}">
            <x14:dataBar minLength="0" maxLength="100" gradient="0">
              <x14:cfvo type="autoMin"/>
              <x14:cfvo type="autoMax"/>
              <x14:negativeFillColor rgb="FFFF0000"/>
              <x14:axisColor rgb="FF000000"/>
            </x14:dataBar>
          </x14:cfRule>
          <xm:sqref>N13:U13</xm:sqref>
        </x14:conditionalFormatting>
        <x14:conditionalFormatting xmlns:xm="http://schemas.microsoft.com/office/excel/2006/main">
          <x14:cfRule type="dataBar" id="{E29495D8-56E2-412E-987A-FAE7535CD673}">
            <x14:dataBar minLength="0" maxLength="100" gradient="0">
              <x14:cfvo type="autoMin"/>
              <x14:cfvo type="autoMax"/>
              <x14:negativeFillColor rgb="FFFF0000"/>
              <x14:axisColor rgb="FF000000"/>
            </x14:dataBar>
          </x14:cfRule>
          <xm:sqref>Y13:AF13</xm:sqref>
        </x14:conditionalFormatting>
        <x14:conditionalFormatting xmlns:xm="http://schemas.microsoft.com/office/excel/2006/main">
          <x14:cfRule type="dataBar" id="{F398EBFC-F248-4964-BEF6-EFAF3E5B5A88}">
            <x14:dataBar minLength="0" maxLength="100" gradient="0">
              <x14:cfvo type="autoMin"/>
              <x14:cfvo type="autoMax"/>
              <x14:negativeFillColor rgb="FFFF0000"/>
              <x14:axisColor rgb="FF000000"/>
            </x14:dataBar>
          </x14:cfRule>
          <xm:sqref>AJ13:AQ13</xm:sqref>
        </x14:conditionalFormatting>
        <x14:conditionalFormatting xmlns:xm="http://schemas.microsoft.com/office/excel/2006/main">
          <x14:cfRule type="dataBar" id="{B2173BA9-18E8-491E-801E-C62C55904098}">
            <x14:dataBar minLength="0" maxLength="100" gradient="0">
              <x14:cfvo type="autoMin"/>
              <x14:cfvo type="autoMax"/>
              <x14:negativeFillColor rgb="FFFF0000"/>
              <x14:axisColor rgb="FF000000"/>
            </x14:dataBar>
          </x14:cfRule>
          <xm:sqref>AU13:BB13</xm:sqref>
        </x14:conditionalFormatting>
        <x14:conditionalFormatting xmlns:xm="http://schemas.microsoft.com/office/excel/2006/main">
          <x14:cfRule type="dataBar" id="{7492B7B4-79E5-4EB3-8EE9-036A304B3524}">
            <x14:dataBar minLength="0" maxLength="100" gradient="0">
              <x14:cfvo type="autoMin"/>
              <x14:cfvo type="autoMax"/>
              <x14:negativeFillColor rgb="FFFF0000"/>
              <x14:axisColor rgb="FF000000"/>
            </x14:dataBar>
          </x14:cfRule>
          <xm:sqref>BF13:BM13</xm:sqref>
        </x14:conditionalFormatting>
        <x14:conditionalFormatting xmlns:xm="http://schemas.microsoft.com/office/excel/2006/main">
          <x14:cfRule type="dataBar" id="{2562C91B-5122-4CAE-A1F3-7BA30A35F670}">
            <x14:dataBar minLength="0" maxLength="100" gradient="0">
              <x14:cfvo type="autoMin"/>
              <x14:cfvo type="autoMax"/>
              <x14:negativeFillColor rgb="FFFF0000"/>
              <x14:axisColor rgb="FF000000"/>
            </x14:dataBar>
          </x14:cfRule>
          <xm:sqref>C6:J13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E954F-0877-41A1-ACC4-78972C5AD411}">
  <dimension ref="A1:FW129"/>
  <sheetViews>
    <sheetView zoomScale="40" zoomScaleNormal="40" workbookViewId="0">
      <selection activeCell="B18" sqref="B18"/>
    </sheetView>
  </sheetViews>
  <sheetFormatPr defaultColWidth="9.140625" defaultRowHeight="15"/>
  <cols>
    <col min="1" max="1" width="16" style="4" customWidth="1"/>
    <col min="2" max="2" width="42.140625" style="4" customWidth="1"/>
    <col min="3" max="3" width="17.85546875" style="4" customWidth="1"/>
    <col min="4" max="4" width="10.140625" style="4" bestFit="1" customWidth="1"/>
    <col min="5" max="5" width="12.42578125" style="4" bestFit="1" customWidth="1"/>
    <col min="6" max="6" width="11" style="4" bestFit="1" customWidth="1"/>
    <col min="7" max="7" width="19.140625" style="4" bestFit="1" customWidth="1"/>
    <col min="8" max="8" width="16.85546875" style="4" bestFit="1" customWidth="1"/>
    <col min="9" max="9" width="11.42578125" style="4" bestFit="1" customWidth="1"/>
    <col min="10" max="10" width="20.5703125" style="4" bestFit="1" customWidth="1"/>
    <col min="11" max="11" width="20.85546875" style="4" bestFit="1" customWidth="1"/>
    <col min="12" max="12" width="9.140625" style="4"/>
    <col min="13" max="13" width="22.42578125" style="4" bestFit="1" customWidth="1"/>
    <col min="14" max="14" width="50.140625" style="4" bestFit="1" customWidth="1"/>
    <col min="15" max="15" width="13.7109375" style="4" customWidth="1"/>
    <col min="16" max="16" width="14.140625" style="4" bestFit="1" customWidth="1"/>
    <col min="17" max="17" width="15.140625" style="4" customWidth="1"/>
    <col min="18" max="18" width="19.140625" style="4" bestFit="1" customWidth="1"/>
    <col min="19" max="19" width="16.85546875" style="4" bestFit="1" customWidth="1"/>
    <col min="20" max="20" width="11.42578125" style="4" bestFit="1" customWidth="1"/>
    <col min="21" max="21" width="20.5703125" style="4" bestFit="1" customWidth="1"/>
    <col min="22" max="22" width="16.85546875" style="4" bestFit="1" customWidth="1"/>
    <col min="23" max="23" width="17.28515625" style="4" customWidth="1"/>
    <col min="24" max="24" width="14.85546875" style="4" customWidth="1"/>
    <col min="25" max="25" width="50.140625" style="4" bestFit="1" customWidth="1"/>
    <col min="26" max="26" width="9" style="4" bestFit="1" customWidth="1"/>
    <col min="27" max="27" width="15" style="4" bestFit="1" customWidth="1"/>
    <col min="28" max="28" width="8.5703125" style="4" bestFit="1" customWidth="1"/>
    <col min="29" max="29" width="19.140625" style="4" bestFit="1" customWidth="1"/>
    <col min="30" max="30" width="16.85546875" style="4" bestFit="1" customWidth="1"/>
    <col min="31" max="31" width="11.42578125" style="4" bestFit="1" customWidth="1"/>
    <col min="32" max="32" width="20.5703125" style="4" bestFit="1" customWidth="1"/>
    <col min="33" max="33" width="14.5703125" style="4" bestFit="1" customWidth="1"/>
    <col min="34" max="34" width="9.140625" style="4"/>
    <col min="35" max="35" width="22.42578125" style="4" bestFit="1" customWidth="1"/>
    <col min="36" max="36" width="20.28515625" style="4" customWidth="1"/>
    <col min="37" max="37" width="9" style="4" bestFit="1" customWidth="1"/>
    <col min="38" max="38" width="9.140625" style="4"/>
    <col min="39" max="39" width="8.5703125" style="4" bestFit="1" customWidth="1"/>
    <col min="40" max="40" width="19.140625" style="4" bestFit="1" customWidth="1"/>
    <col min="41" max="41" width="16.85546875" style="4" bestFit="1" customWidth="1"/>
    <col min="42" max="42" width="11.42578125" style="4" bestFit="1" customWidth="1"/>
    <col min="43" max="43" width="20.5703125" style="4" bestFit="1" customWidth="1"/>
    <col min="44" max="44" width="13" style="4" bestFit="1" customWidth="1"/>
    <col min="45" max="45" width="9.140625" style="4"/>
    <col min="46" max="46" width="22.42578125" style="4" bestFit="1" customWidth="1"/>
    <col min="47" max="47" width="50.140625" style="4" bestFit="1" customWidth="1"/>
    <col min="48" max="48" width="9" style="4" bestFit="1" customWidth="1"/>
    <col min="49" max="49" width="9.140625" style="4"/>
    <col min="50" max="50" width="8.5703125" style="4" bestFit="1" customWidth="1"/>
    <col min="51" max="51" width="19.140625" style="4" bestFit="1" customWidth="1"/>
    <col min="52" max="52" width="16.85546875" style="4" bestFit="1" customWidth="1"/>
    <col min="53" max="53" width="11.42578125" style="4" bestFit="1" customWidth="1"/>
    <col min="54" max="54" width="20.5703125" style="4" bestFit="1" customWidth="1"/>
    <col min="55" max="55" width="14.5703125" style="4" bestFit="1" customWidth="1"/>
    <col min="56" max="56" width="9.140625" style="4"/>
    <col min="57" max="57" width="22.42578125" style="4" bestFit="1" customWidth="1"/>
    <col min="58" max="58" width="50.140625" style="4" bestFit="1" customWidth="1"/>
    <col min="59" max="59" width="9" style="4" bestFit="1" customWidth="1"/>
    <col min="60" max="60" width="9.140625" style="4"/>
    <col min="61" max="61" width="8.5703125" style="4" bestFit="1" customWidth="1"/>
    <col min="62" max="62" width="19.140625" style="4" bestFit="1" customWidth="1"/>
    <col min="63" max="63" width="16.85546875" style="4" bestFit="1" customWidth="1"/>
    <col min="64" max="64" width="11.42578125" style="4" bestFit="1" customWidth="1"/>
    <col min="65" max="65" width="20.5703125" style="4" bestFit="1" customWidth="1"/>
    <col min="66" max="66" width="14.5703125" style="4" bestFit="1" customWidth="1"/>
    <col min="67" max="16384" width="9.140625" style="4"/>
  </cols>
  <sheetData>
    <row r="1" spans="1:179" s="59" customFormat="1"/>
    <row r="2" spans="1:179" s="59" customFormat="1" ht="15.75" thickBot="1"/>
    <row r="3" spans="1:179" s="59" customFormat="1" ht="19.5" customHeight="1" thickBot="1">
      <c r="A3" s="641" t="s">
        <v>3999</v>
      </c>
      <c r="B3" s="642"/>
      <c r="C3" s="642"/>
      <c r="D3" s="642"/>
      <c r="E3" s="642"/>
      <c r="F3" s="642"/>
      <c r="G3" s="642"/>
      <c r="H3" s="642"/>
      <c r="I3" s="642"/>
      <c r="J3" s="642"/>
      <c r="K3" s="643"/>
      <c r="M3" s="641" t="s">
        <v>4000</v>
      </c>
      <c r="N3" s="642"/>
      <c r="O3" s="642"/>
      <c r="P3" s="642"/>
      <c r="Q3" s="642"/>
      <c r="R3" s="642"/>
      <c r="S3" s="642"/>
      <c r="T3" s="642"/>
      <c r="U3" s="642"/>
      <c r="V3" s="642"/>
      <c r="W3" s="643"/>
      <c r="X3" s="589"/>
      <c r="Y3" s="641" t="s">
        <v>4001</v>
      </c>
      <c r="Z3" s="642"/>
      <c r="AA3" s="642"/>
      <c r="AB3" s="642"/>
      <c r="AC3" s="642"/>
      <c r="AD3" s="642"/>
      <c r="AE3" s="642"/>
      <c r="AF3" s="642"/>
      <c r="AG3" s="642"/>
      <c r="AH3" s="642"/>
      <c r="AI3" s="643"/>
      <c r="AJ3" s="589"/>
      <c r="AK3" s="641" t="s">
        <v>4002</v>
      </c>
      <c r="AL3" s="642"/>
      <c r="AM3" s="642"/>
      <c r="AN3" s="642"/>
      <c r="AO3" s="642"/>
      <c r="AP3" s="642"/>
      <c r="AQ3" s="642"/>
      <c r="AR3" s="642"/>
      <c r="AS3" s="642"/>
      <c r="AT3" s="642"/>
      <c r="AU3" s="643"/>
      <c r="AV3" s="589"/>
      <c r="AW3" s="641" t="s">
        <v>4003</v>
      </c>
      <c r="AX3" s="642"/>
      <c r="AY3" s="642"/>
      <c r="AZ3" s="642"/>
      <c r="BA3" s="642"/>
      <c r="BB3" s="642"/>
      <c r="BC3" s="642"/>
      <c r="BD3" s="642"/>
      <c r="BE3" s="642"/>
      <c r="BF3" s="642"/>
      <c r="BG3" s="643"/>
      <c r="BH3" s="589"/>
      <c r="BI3" s="641" t="s">
        <v>4004</v>
      </c>
      <c r="BJ3" s="642"/>
      <c r="BK3" s="642"/>
      <c r="BL3" s="642"/>
      <c r="BM3" s="642"/>
      <c r="BN3" s="642"/>
      <c r="BO3" s="642"/>
      <c r="BP3" s="642"/>
      <c r="BQ3" s="642"/>
      <c r="BR3" s="642"/>
      <c r="BS3" s="643"/>
      <c r="BU3" s="641" t="s">
        <v>4005</v>
      </c>
      <c r="BV3" s="642"/>
      <c r="BW3" s="642"/>
      <c r="BX3" s="642"/>
      <c r="BY3" s="642"/>
      <c r="BZ3" s="642"/>
      <c r="CA3" s="642"/>
      <c r="CB3" s="642"/>
      <c r="CC3" s="642"/>
      <c r="CD3" s="642"/>
      <c r="CE3" s="643"/>
      <c r="CG3" s="641" t="s">
        <v>4006</v>
      </c>
      <c r="CH3" s="642"/>
      <c r="CI3" s="642"/>
      <c r="CJ3" s="642"/>
      <c r="CK3" s="642"/>
      <c r="CL3" s="642"/>
      <c r="CM3" s="642"/>
      <c r="CN3" s="642"/>
      <c r="CO3" s="642"/>
      <c r="CP3" s="642"/>
      <c r="CQ3" s="643"/>
      <c r="CS3" s="641" t="s">
        <v>4007</v>
      </c>
      <c r="CT3" s="642"/>
      <c r="CU3" s="642"/>
      <c r="CV3" s="642"/>
      <c r="CW3" s="642"/>
      <c r="CX3" s="642"/>
      <c r="CY3" s="642"/>
      <c r="CZ3" s="642"/>
      <c r="DA3" s="642"/>
      <c r="DB3" s="642"/>
      <c r="DC3" s="643"/>
      <c r="DE3" s="641" t="s">
        <v>4073</v>
      </c>
      <c r="DF3" s="642"/>
      <c r="DG3" s="642"/>
      <c r="DH3" s="642"/>
      <c r="DI3" s="642"/>
      <c r="DJ3" s="642"/>
      <c r="DK3" s="642"/>
      <c r="DL3" s="642"/>
      <c r="DM3" s="642"/>
      <c r="DN3" s="642"/>
      <c r="DO3" s="643"/>
      <c r="DQ3" s="641" t="s">
        <v>4008</v>
      </c>
      <c r="DR3" s="642"/>
      <c r="DS3" s="642"/>
      <c r="DT3" s="642"/>
      <c r="DU3" s="642"/>
      <c r="DV3" s="642"/>
      <c r="DW3" s="642"/>
      <c r="DX3" s="642"/>
      <c r="DY3" s="642"/>
      <c r="DZ3" s="642"/>
      <c r="EA3" s="643"/>
      <c r="EC3" s="641" t="s">
        <v>4009</v>
      </c>
      <c r="ED3" s="642"/>
      <c r="EE3" s="642"/>
      <c r="EF3" s="642"/>
      <c r="EG3" s="642"/>
      <c r="EH3" s="642"/>
      <c r="EI3" s="642"/>
      <c r="EJ3" s="642"/>
      <c r="EK3" s="642"/>
      <c r="EL3" s="642"/>
      <c r="EM3" s="643"/>
      <c r="EO3" s="641" t="s">
        <v>4010</v>
      </c>
      <c r="EP3" s="642"/>
      <c r="EQ3" s="642"/>
      <c r="ER3" s="642"/>
      <c r="ES3" s="642"/>
      <c r="ET3" s="642"/>
      <c r="EU3" s="642"/>
      <c r="EV3" s="642"/>
      <c r="EW3" s="642"/>
      <c r="EX3" s="642"/>
      <c r="EY3" s="643"/>
      <c r="FA3" s="641" t="s">
        <v>4011</v>
      </c>
      <c r="FB3" s="642"/>
      <c r="FC3" s="642"/>
      <c r="FD3" s="642"/>
      <c r="FE3" s="642"/>
      <c r="FF3" s="642"/>
      <c r="FG3" s="642"/>
      <c r="FH3" s="642"/>
      <c r="FI3" s="642"/>
      <c r="FJ3" s="642"/>
      <c r="FK3" s="643"/>
      <c r="FM3" s="641" t="s">
        <v>4012</v>
      </c>
      <c r="FN3" s="642"/>
      <c r="FO3" s="642"/>
      <c r="FP3" s="642"/>
      <c r="FQ3" s="642"/>
      <c r="FR3" s="642"/>
      <c r="FS3" s="642"/>
      <c r="FT3" s="642"/>
      <c r="FU3" s="642"/>
      <c r="FV3" s="642"/>
      <c r="FW3" s="643"/>
    </row>
    <row r="4" spans="1:179" s="59" customFormat="1" ht="19.5" customHeight="1" thickBot="1">
      <c r="A4" s="629" t="s">
        <v>2</v>
      </c>
      <c r="B4" s="631" t="s">
        <v>3</v>
      </c>
      <c r="C4" s="540"/>
      <c r="D4" s="640" t="s">
        <v>3995</v>
      </c>
      <c r="E4" s="640"/>
      <c r="F4" s="640"/>
      <c r="G4" s="640" t="s">
        <v>3996</v>
      </c>
      <c r="H4" s="640"/>
      <c r="I4" s="640"/>
      <c r="J4" s="640"/>
      <c r="K4" s="571"/>
      <c r="M4" s="629" t="s">
        <v>2</v>
      </c>
      <c r="N4" s="631" t="s">
        <v>3</v>
      </c>
      <c r="O4" s="540"/>
      <c r="P4" s="640" t="s">
        <v>3995</v>
      </c>
      <c r="Q4" s="640"/>
      <c r="R4" s="640"/>
      <c r="S4" s="640" t="s">
        <v>3996</v>
      </c>
      <c r="T4" s="640"/>
      <c r="U4" s="640"/>
      <c r="V4" s="640"/>
      <c r="W4" s="571"/>
      <c r="X4" s="644"/>
      <c r="Y4" s="629" t="s">
        <v>2</v>
      </c>
      <c r="Z4" s="631" t="s">
        <v>3</v>
      </c>
      <c r="AA4" s="540"/>
      <c r="AB4" s="640" t="s">
        <v>3995</v>
      </c>
      <c r="AC4" s="640"/>
      <c r="AD4" s="640"/>
      <c r="AE4" s="640" t="s">
        <v>3996</v>
      </c>
      <c r="AF4" s="640"/>
      <c r="AG4" s="640"/>
      <c r="AH4" s="640"/>
      <c r="AI4" s="571"/>
      <c r="AJ4" s="644"/>
      <c r="AK4" s="629" t="s">
        <v>2</v>
      </c>
      <c r="AL4" s="631" t="s">
        <v>3</v>
      </c>
      <c r="AM4" s="540"/>
      <c r="AN4" s="640" t="s">
        <v>3995</v>
      </c>
      <c r="AO4" s="640"/>
      <c r="AP4" s="640"/>
      <c r="AQ4" s="640" t="s">
        <v>3996</v>
      </c>
      <c r="AR4" s="640"/>
      <c r="AS4" s="640"/>
      <c r="AT4" s="640"/>
      <c r="AU4" s="571"/>
      <c r="AV4" s="589"/>
      <c r="AW4" s="629" t="s">
        <v>2</v>
      </c>
      <c r="AX4" s="631" t="s">
        <v>3</v>
      </c>
      <c r="AY4" s="540"/>
      <c r="AZ4" s="640" t="s">
        <v>3995</v>
      </c>
      <c r="BA4" s="640"/>
      <c r="BB4" s="640"/>
      <c r="BC4" s="640" t="s">
        <v>3996</v>
      </c>
      <c r="BD4" s="640"/>
      <c r="BE4" s="640"/>
      <c r="BF4" s="640"/>
      <c r="BG4" s="571"/>
      <c r="BH4" s="589"/>
      <c r="BI4" s="629" t="s">
        <v>2</v>
      </c>
      <c r="BJ4" s="631" t="s">
        <v>3</v>
      </c>
      <c r="BK4" s="540"/>
      <c r="BL4" s="640" t="s">
        <v>3995</v>
      </c>
      <c r="BM4" s="640"/>
      <c r="BN4" s="640"/>
      <c r="BO4" s="640" t="s">
        <v>3996</v>
      </c>
      <c r="BP4" s="640"/>
      <c r="BQ4" s="640"/>
      <c r="BR4" s="640"/>
      <c r="BS4" s="571"/>
      <c r="BU4" s="629" t="s">
        <v>2</v>
      </c>
      <c r="BV4" s="631" t="s">
        <v>3</v>
      </c>
      <c r="BW4" s="540"/>
      <c r="BX4" s="640" t="s">
        <v>3995</v>
      </c>
      <c r="BY4" s="640"/>
      <c r="BZ4" s="640"/>
      <c r="CA4" s="640" t="s">
        <v>3996</v>
      </c>
      <c r="CB4" s="640"/>
      <c r="CC4" s="640"/>
      <c r="CD4" s="640"/>
      <c r="CE4" s="571"/>
      <c r="CG4" s="629" t="s">
        <v>2</v>
      </c>
      <c r="CH4" s="631" t="s">
        <v>3</v>
      </c>
      <c r="CI4" s="540"/>
      <c r="CJ4" s="640" t="s">
        <v>3995</v>
      </c>
      <c r="CK4" s="640"/>
      <c r="CL4" s="640"/>
      <c r="CM4" s="640" t="s">
        <v>3996</v>
      </c>
      <c r="CN4" s="640"/>
      <c r="CO4" s="640"/>
      <c r="CP4" s="640"/>
      <c r="CQ4" s="571"/>
      <c r="CS4" s="629" t="s">
        <v>2</v>
      </c>
      <c r="CT4" s="631" t="s">
        <v>3</v>
      </c>
      <c r="CU4" s="540"/>
      <c r="CV4" s="640" t="s">
        <v>3995</v>
      </c>
      <c r="CW4" s="640"/>
      <c r="CX4" s="640"/>
      <c r="CY4" s="640" t="s">
        <v>3996</v>
      </c>
      <c r="CZ4" s="640"/>
      <c r="DA4" s="640"/>
      <c r="DB4" s="640"/>
      <c r="DC4" s="571"/>
      <c r="DE4" s="629" t="s">
        <v>2</v>
      </c>
      <c r="DF4" s="631" t="s">
        <v>3</v>
      </c>
      <c r="DG4" s="540"/>
      <c r="DH4" s="640" t="s">
        <v>3995</v>
      </c>
      <c r="DI4" s="640"/>
      <c r="DJ4" s="640"/>
      <c r="DK4" s="640" t="s">
        <v>3996</v>
      </c>
      <c r="DL4" s="640"/>
      <c r="DM4" s="640"/>
      <c r="DN4" s="640"/>
      <c r="DO4" s="571"/>
      <c r="DQ4" s="629" t="s">
        <v>2</v>
      </c>
      <c r="DR4" s="631" t="s">
        <v>3</v>
      </c>
      <c r="DS4" s="540"/>
      <c r="DT4" s="640" t="s">
        <v>3995</v>
      </c>
      <c r="DU4" s="640"/>
      <c r="DV4" s="640"/>
      <c r="DW4" s="640" t="s">
        <v>3996</v>
      </c>
      <c r="DX4" s="640"/>
      <c r="DY4" s="640"/>
      <c r="DZ4" s="640"/>
      <c r="EA4" s="571"/>
      <c r="EC4" s="629" t="s">
        <v>2</v>
      </c>
      <c r="ED4" s="631" t="s">
        <v>3</v>
      </c>
      <c r="EE4" s="540"/>
      <c r="EF4" s="640" t="s">
        <v>3995</v>
      </c>
      <c r="EG4" s="640"/>
      <c r="EH4" s="640"/>
      <c r="EI4" s="640" t="s">
        <v>3996</v>
      </c>
      <c r="EJ4" s="640"/>
      <c r="EK4" s="640"/>
      <c r="EL4" s="640"/>
      <c r="EM4" s="571"/>
      <c r="EO4" s="629" t="s">
        <v>2</v>
      </c>
      <c r="EP4" s="631" t="s">
        <v>3</v>
      </c>
      <c r="EQ4" s="540"/>
      <c r="ER4" s="640" t="s">
        <v>3995</v>
      </c>
      <c r="ES4" s="640"/>
      <c r="ET4" s="640"/>
      <c r="EU4" s="640" t="s">
        <v>3996</v>
      </c>
      <c r="EV4" s="640"/>
      <c r="EW4" s="640"/>
      <c r="EX4" s="640"/>
      <c r="EY4" s="571"/>
      <c r="FA4" s="629" t="s">
        <v>2</v>
      </c>
      <c r="FB4" s="631" t="s">
        <v>3</v>
      </c>
      <c r="FC4" s="540"/>
      <c r="FD4" s="640" t="s">
        <v>3995</v>
      </c>
      <c r="FE4" s="640"/>
      <c r="FF4" s="640"/>
      <c r="FG4" s="640" t="s">
        <v>3996</v>
      </c>
      <c r="FH4" s="640"/>
      <c r="FI4" s="640"/>
      <c r="FJ4" s="640"/>
      <c r="FK4" s="571"/>
      <c r="FM4" s="629" t="s">
        <v>2</v>
      </c>
      <c r="FN4" s="631" t="s">
        <v>3</v>
      </c>
      <c r="FO4" s="540"/>
      <c r="FP4" s="640" t="s">
        <v>3995</v>
      </c>
      <c r="FQ4" s="640"/>
      <c r="FR4" s="640"/>
      <c r="FS4" s="640" t="s">
        <v>3996</v>
      </c>
      <c r="FT4" s="640"/>
      <c r="FU4" s="640"/>
      <c r="FV4" s="640"/>
      <c r="FW4" s="571"/>
    </row>
    <row r="5" spans="1:179" s="59" customFormat="1" ht="113.25" customHeight="1" thickBot="1">
      <c r="A5" s="630"/>
      <c r="B5" s="639"/>
      <c r="C5" s="586" t="s">
        <v>3994</v>
      </c>
      <c r="D5" s="572" t="s">
        <v>6</v>
      </c>
      <c r="E5" s="573" t="s">
        <v>7</v>
      </c>
      <c r="F5" s="573" t="s">
        <v>8</v>
      </c>
      <c r="G5" s="574" t="s">
        <v>9</v>
      </c>
      <c r="H5" s="574" t="s">
        <v>10</v>
      </c>
      <c r="I5" s="574" t="s">
        <v>11</v>
      </c>
      <c r="J5" s="574" t="s">
        <v>12</v>
      </c>
      <c r="K5" s="575" t="s">
        <v>3997</v>
      </c>
      <c r="M5" s="630"/>
      <c r="N5" s="639"/>
      <c r="O5" s="586" t="s">
        <v>3994</v>
      </c>
      <c r="P5" s="572" t="s">
        <v>6</v>
      </c>
      <c r="Q5" s="573" t="s">
        <v>7</v>
      </c>
      <c r="R5" s="573" t="s">
        <v>8</v>
      </c>
      <c r="S5" s="574" t="s">
        <v>9</v>
      </c>
      <c r="T5" s="574" t="s">
        <v>10</v>
      </c>
      <c r="U5" s="574" t="s">
        <v>11</v>
      </c>
      <c r="V5" s="574" t="s">
        <v>12</v>
      </c>
      <c r="W5" s="575" t="s">
        <v>3997</v>
      </c>
      <c r="X5" s="644"/>
      <c r="Y5" s="630"/>
      <c r="Z5" s="639"/>
      <c r="AA5" s="586" t="s">
        <v>3994</v>
      </c>
      <c r="AB5" s="572" t="s">
        <v>6</v>
      </c>
      <c r="AC5" s="573" t="s">
        <v>7</v>
      </c>
      <c r="AD5" s="573" t="s">
        <v>8</v>
      </c>
      <c r="AE5" s="574" t="s">
        <v>9</v>
      </c>
      <c r="AF5" s="574" t="s">
        <v>10</v>
      </c>
      <c r="AG5" s="574" t="s">
        <v>11</v>
      </c>
      <c r="AH5" s="574" t="s">
        <v>12</v>
      </c>
      <c r="AI5" s="575" t="s">
        <v>3997</v>
      </c>
      <c r="AJ5" s="644"/>
      <c r="AK5" s="630"/>
      <c r="AL5" s="639"/>
      <c r="AM5" s="586" t="s">
        <v>3994</v>
      </c>
      <c r="AN5" s="572" t="s">
        <v>6</v>
      </c>
      <c r="AO5" s="573" t="s">
        <v>7</v>
      </c>
      <c r="AP5" s="573" t="s">
        <v>8</v>
      </c>
      <c r="AQ5" s="574" t="s">
        <v>9</v>
      </c>
      <c r="AR5" s="574" t="s">
        <v>10</v>
      </c>
      <c r="AS5" s="574" t="s">
        <v>11</v>
      </c>
      <c r="AT5" s="574" t="s">
        <v>12</v>
      </c>
      <c r="AU5" s="575" t="s">
        <v>3997</v>
      </c>
      <c r="AV5" s="589"/>
      <c r="AW5" s="630"/>
      <c r="AX5" s="639"/>
      <c r="AY5" s="586" t="s">
        <v>3994</v>
      </c>
      <c r="AZ5" s="572" t="s">
        <v>6</v>
      </c>
      <c r="BA5" s="573" t="s">
        <v>7</v>
      </c>
      <c r="BB5" s="573" t="s">
        <v>8</v>
      </c>
      <c r="BC5" s="574" t="s">
        <v>9</v>
      </c>
      <c r="BD5" s="574" t="s">
        <v>10</v>
      </c>
      <c r="BE5" s="574" t="s">
        <v>11</v>
      </c>
      <c r="BF5" s="574" t="s">
        <v>12</v>
      </c>
      <c r="BG5" s="575" t="s">
        <v>3997</v>
      </c>
      <c r="BH5" s="589"/>
      <c r="BI5" s="630"/>
      <c r="BJ5" s="639"/>
      <c r="BK5" s="586" t="s">
        <v>3994</v>
      </c>
      <c r="BL5" s="572" t="s">
        <v>6</v>
      </c>
      <c r="BM5" s="573" t="s">
        <v>7</v>
      </c>
      <c r="BN5" s="573" t="s">
        <v>8</v>
      </c>
      <c r="BO5" s="574" t="s">
        <v>9</v>
      </c>
      <c r="BP5" s="574" t="s">
        <v>10</v>
      </c>
      <c r="BQ5" s="574" t="s">
        <v>11</v>
      </c>
      <c r="BR5" s="574" t="s">
        <v>12</v>
      </c>
      <c r="BS5" s="575" t="s">
        <v>3997</v>
      </c>
      <c r="BU5" s="630"/>
      <c r="BV5" s="639"/>
      <c r="BW5" s="586" t="s">
        <v>3994</v>
      </c>
      <c r="BX5" s="572" t="s">
        <v>6</v>
      </c>
      <c r="BY5" s="573" t="s">
        <v>7</v>
      </c>
      <c r="BZ5" s="573" t="s">
        <v>8</v>
      </c>
      <c r="CA5" s="574" t="s">
        <v>9</v>
      </c>
      <c r="CB5" s="574" t="s">
        <v>10</v>
      </c>
      <c r="CC5" s="574" t="s">
        <v>11</v>
      </c>
      <c r="CD5" s="574" t="s">
        <v>12</v>
      </c>
      <c r="CE5" s="575" t="s">
        <v>3997</v>
      </c>
      <c r="CG5" s="630"/>
      <c r="CH5" s="639"/>
      <c r="CI5" s="586" t="s">
        <v>3994</v>
      </c>
      <c r="CJ5" s="572" t="s">
        <v>6</v>
      </c>
      <c r="CK5" s="573" t="s">
        <v>7</v>
      </c>
      <c r="CL5" s="573" t="s">
        <v>8</v>
      </c>
      <c r="CM5" s="574" t="s">
        <v>9</v>
      </c>
      <c r="CN5" s="574" t="s">
        <v>10</v>
      </c>
      <c r="CO5" s="574" t="s">
        <v>11</v>
      </c>
      <c r="CP5" s="574" t="s">
        <v>12</v>
      </c>
      <c r="CQ5" s="575" t="s">
        <v>3997</v>
      </c>
      <c r="CS5" s="630"/>
      <c r="CT5" s="639"/>
      <c r="CU5" s="586" t="s">
        <v>3994</v>
      </c>
      <c r="CV5" s="572" t="s">
        <v>6</v>
      </c>
      <c r="CW5" s="573" t="s">
        <v>7</v>
      </c>
      <c r="CX5" s="573" t="s">
        <v>8</v>
      </c>
      <c r="CY5" s="574" t="s">
        <v>9</v>
      </c>
      <c r="CZ5" s="574" t="s">
        <v>10</v>
      </c>
      <c r="DA5" s="574" t="s">
        <v>11</v>
      </c>
      <c r="DB5" s="574" t="s">
        <v>12</v>
      </c>
      <c r="DC5" s="575" t="s">
        <v>3997</v>
      </c>
      <c r="DE5" s="630"/>
      <c r="DF5" s="639"/>
      <c r="DG5" s="586" t="s">
        <v>3994</v>
      </c>
      <c r="DH5" s="572" t="s">
        <v>6</v>
      </c>
      <c r="DI5" s="573" t="s">
        <v>7</v>
      </c>
      <c r="DJ5" s="573" t="s">
        <v>8</v>
      </c>
      <c r="DK5" s="574" t="s">
        <v>9</v>
      </c>
      <c r="DL5" s="574" t="s">
        <v>10</v>
      </c>
      <c r="DM5" s="574" t="s">
        <v>11</v>
      </c>
      <c r="DN5" s="574" t="s">
        <v>12</v>
      </c>
      <c r="DO5" s="575" t="s">
        <v>3997</v>
      </c>
      <c r="DQ5" s="630"/>
      <c r="DR5" s="639"/>
      <c r="DS5" s="586" t="s">
        <v>3994</v>
      </c>
      <c r="DT5" s="572" t="s">
        <v>6</v>
      </c>
      <c r="DU5" s="573" t="s">
        <v>7</v>
      </c>
      <c r="DV5" s="573" t="s">
        <v>8</v>
      </c>
      <c r="DW5" s="574" t="s">
        <v>9</v>
      </c>
      <c r="DX5" s="574" t="s">
        <v>10</v>
      </c>
      <c r="DY5" s="574" t="s">
        <v>11</v>
      </c>
      <c r="DZ5" s="574" t="s">
        <v>12</v>
      </c>
      <c r="EA5" s="575" t="s">
        <v>3997</v>
      </c>
      <c r="EC5" s="630"/>
      <c r="ED5" s="639"/>
      <c r="EE5" s="586" t="s">
        <v>3994</v>
      </c>
      <c r="EF5" s="572" t="s">
        <v>6</v>
      </c>
      <c r="EG5" s="573" t="s">
        <v>7</v>
      </c>
      <c r="EH5" s="573" t="s">
        <v>8</v>
      </c>
      <c r="EI5" s="574" t="s">
        <v>9</v>
      </c>
      <c r="EJ5" s="574" t="s">
        <v>10</v>
      </c>
      <c r="EK5" s="574" t="s">
        <v>11</v>
      </c>
      <c r="EL5" s="574" t="s">
        <v>12</v>
      </c>
      <c r="EM5" s="575" t="s">
        <v>3997</v>
      </c>
      <c r="EO5" s="630"/>
      <c r="EP5" s="639"/>
      <c r="EQ5" s="586" t="s">
        <v>3994</v>
      </c>
      <c r="ER5" s="572" t="s">
        <v>6</v>
      </c>
      <c r="ES5" s="573" t="s">
        <v>7</v>
      </c>
      <c r="ET5" s="573" t="s">
        <v>8</v>
      </c>
      <c r="EU5" s="574" t="s">
        <v>9</v>
      </c>
      <c r="EV5" s="574" t="s">
        <v>10</v>
      </c>
      <c r="EW5" s="574" t="s">
        <v>11</v>
      </c>
      <c r="EX5" s="574" t="s">
        <v>12</v>
      </c>
      <c r="EY5" s="575" t="s">
        <v>3997</v>
      </c>
      <c r="FA5" s="630"/>
      <c r="FB5" s="639"/>
      <c r="FC5" s="586" t="s">
        <v>3994</v>
      </c>
      <c r="FD5" s="572" t="s">
        <v>6</v>
      </c>
      <c r="FE5" s="573" t="s">
        <v>7</v>
      </c>
      <c r="FF5" s="573" t="s">
        <v>8</v>
      </c>
      <c r="FG5" s="574" t="s">
        <v>9</v>
      </c>
      <c r="FH5" s="574" t="s">
        <v>10</v>
      </c>
      <c r="FI5" s="574" t="s">
        <v>11</v>
      </c>
      <c r="FJ5" s="574" t="s">
        <v>12</v>
      </c>
      <c r="FK5" s="575" t="s">
        <v>3997</v>
      </c>
      <c r="FM5" s="630"/>
      <c r="FN5" s="639"/>
      <c r="FO5" s="586" t="s">
        <v>3994</v>
      </c>
      <c r="FP5" s="572" t="s">
        <v>6</v>
      </c>
      <c r="FQ5" s="573" t="s">
        <v>7</v>
      </c>
      <c r="FR5" s="573" t="s">
        <v>8</v>
      </c>
      <c r="FS5" s="574" t="s">
        <v>9</v>
      </c>
      <c r="FT5" s="574" t="s">
        <v>10</v>
      </c>
      <c r="FU5" s="574" t="s">
        <v>11</v>
      </c>
      <c r="FV5" s="574" t="s">
        <v>12</v>
      </c>
      <c r="FW5" s="575" t="s">
        <v>3997</v>
      </c>
    </row>
    <row r="6" spans="1:179" s="59" customFormat="1" ht="69" customHeight="1">
      <c r="A6" s="51" t="s">
        <v>14</v>
      </c>
      <c r="B6" s="52" t="s">
        <v>15</v>
      </c>
      <c r="C6" s="587">
        <f>COUNTA('10 REMPEC'!$R3:$R154)/90</f>
        <v>0.48888888888888887</v>
      </c>
      <c r="D6" s="576">
        <f>COUNTIF('10 REMPEC'!$V3:$V154,"In Progress")/90</f>
        <v>0.4</v>
      </c>
      <c r="E6" s="577">
        <f>COUNTIF('10 REMPEC'!$V3:$V154,"Completed")/90</f>
        <v>0</v>
      </c>
      <c r="F6" s="577">
        <f>COUNTIF('10 REMPEC'!$V3:$V154,"Not started")/90</f>
        <v>7.7777777777777779E-2</v>
      </c>
      <c r="G6" s="577">
        <f>COUNTIF('10 REMPEC'!$X3:$X154,"technical")/90</f>
        <v>0.33333333333333331</v>
      </c>
      <c r="H6" s="577">
        <f>COUNTIF('10 REMPEC'!$X3:$X154,"training")/90</f>
        <v>0.1</v>
      </c>
      <c r="I6" s="577">
        <f>COUNTIF('10 REMPEC'!$X3:$X154,"legal")/90</f>
        <v>4.4444444444444446E-2</v>
      </c>
      <c r="J6" s="577">
        <f>COUNTIF('10 REMPEC'!$X3:$X154,"investment")/90</f>
        <v>0</v>
      </c>
      <c r="K6" s="578">
        <f>SUM('10 REMPEC'!$Z3:$Z154)</f>
        <v>237074</v>
      </c>
      <c r="M6" s="51" t="s">
        <v>14</v>
      </c>
      <c r="N6" s="52" t="s">
        <v>15</v>
      </c>
      <c r="O6" s="587">
        <f>COUNTA('11 EMSA'!$R3:$R154)/90</f>
        <v>0.51111111111111107</v>
      </c>
      <c r="P6" s="576">
        <f>COUNTIF('11 EMSA'!$V3:$V154,"In Progress")/90</f>
        <v>0.5</v>
      </c>
      <c r="Q6" s="577">
        <f>COUNTIF('11 EMSA'!$V3:$V154,"Completed")/90</f>
        <v>1.1111111111111112E-2</v>
      </c>
      <c r="R6" s="577">
        <f>COUNTIF('11 EMSA'!$V3:$V154,"Not started")/90</f>
        <v>4.4444444444444446E-2</v>
      </c>
      <c r="S6" s="577">
        <f>COUNTIF('11 EMSA'!$X3:$X154,"technical")/90</f>
        <v>0.35555555555555557</v>
      </c>
      <c r="T6" s="577">
        <f>COUNTIF('11 EMSA'!$X3:$X154,"training")/90</f>
        <v>0.14444444444444443</v>
      </c>
      <c r="U6" s="577">
        <f>COUNTIF('11 EMSA'!$X3:$X154,"legal")/90</f>
        <v>0</v>
      </c>
      <c r="V6" s="577">
        <f>COUNTIF('11 EMSA'!$X3:$X154,"investment")/90</f>
        <v>0</v>
      </c>
      <c r="W6" s="578">
        <f>SUM('11 EMSA'!$Z3:$Z154)</f>
        <v>0</v>
      </c>
      <c r="X6" s="591"/>
      <c r="Y6" s="51" t="s">
        <v>14</v>
      </c>
      <c r="Z6" s="52" t="s">
        <v>15</v>
      </c>
      <c r="AA6" s="587">
        <f>COUNTA('5 CEDRE'!$R3:$R154)/90</f>
        <v>0.17777777777777778</v>
      </c>
      <c r="AB6" s="576">
        <f>COUNTIF('5 CEDRE'!$V3:$V154,"In Progress")/90</f>
        <v>8.8888888888888892E-2</v>
      </c>
      <c r="AC6" s="577">
        <f>COUNTIF('5 CEDRE'!$V3:$V154,"Completed")/90</f>
        <v>3.3333333333333333E-2</v>
      </c>
      <c r="AD6" s="577">
        <f>COUNTIF('5 CEDRE'!$V3:$V154,"Not started")/90</f>
        <v>5.5555555555555552E-2</v>
      </c>
      <c r="AE6" s="577">
        <f>COUNTIF('5 CEDRE'!$X3:$X154,"technical")/90</f>
        <v>0.1111111111111111</v>
      </c>
      <c r="AF6" s="577">
        <f>COUNTIF('5 CEDRE'!$X3:$X154,"training")/90</f>
        <v>6.6666666666666666E-2</v>
      </c>
      <c r="AG6" s="577">
        <f>COUNTIF('5 CEDRE'!$X3:$X154,"legal")/90</f>
        <v>0</v>
      </c>
      <c r="AH6" s="577">
        <f>COUNTIF('5 CEDRE'!$X3:$X154,"investment")/90</f>
        <v>0</v>
      </c>
      <c r="AI6" s="578">
        <f>SUM('5 CEDRE'!$Z3:$Z154)</f>
        <v>0</v>
      </c>
      <c r="AJ6" s="591"/>
      <c r="AK6" s="51" t="s">
        <v>14</v>
      </c>
      <c r="AL6" s="52" t="s">
        <v>15</v>
      </c>
      <c r="AM6" s="587">
        <f>COUNTA('1 UfM'!$R3:$R154)/90</f>
        <v>3.3333333333333333E-2</v>
      </c>
      <c r="AN6" s="576">
        <f>COUNTIF('1 UfM'!$V3:$V154,"In Progress")/90</f>
        <v>3.3333333333333333E-2</v>
      </c>
      <c r="AO6" s="577">
        <f>COUNTIF('1 UfM'!$V3:$V154,"Completed")/90</f>
        <v>0</v>
      </c>
      <c r="AP6" s="577">
        <f>COUNTIF('1 UfM'!$V3:$V154,"Not started")/90</f>
        <v>0</v>
      </c>
      <c r="AQ6" s="577">
        <f>COUNTIF('1 UfM'!$X3:$X154,"technical")/90</f>
        <v>3.3333333333333333E-2</v>
      </c>
      <c r="AR6" s="577">
        <f>COUNTIF('1 UfM'!$X3:$X154,"training")/90</f>
        <v>0</v>
      </c>
      <c r="AS6" s="577">
        <f>COUNTIF('1 UfM'!$X3:$X154,"legal")/90</f>
        <v>0</v>
      </c>
      <c r="AT6" s="577">
        <f>COUNTIF('1 UfM'!$X3:$X154,"investment")/90</f>
        <v>0</v>
      </c>
      <c r="AU6" s="578">
        <f>SUM('1 UfM'!$Z3:$Z154)</f>
        <v>0</v>
      </c>
      <c r="AV6" s="590"/>
      <c r="AW6" s="51" t="s">
        <v>14</v>
      </c>
      <c r="AX6" s="52" t="s">
        <v>15</v>
      </c>
      <c r="AY6" s="587">
        <f>COUNTA('2 OSRL'!$R3:$R154)/90</f>
        <v>3.3333333333333333E-2</v>
      </c>
      <c r="AZ6" s="576">
        <f>COUNTIF('2 OSRL'!$V3:$V154,"In Progress")/90</f>
        <v>1.1111111111111112E-2</v>
      </c>
      <c r="BA6" s="577">
        <f>COUNTIF('2 OSRL'!$V3:$V154,"Completed")/90</f>
        <v>0</v>
      </c>
      <c r="BB6" s="577">
        <f>COUNTIF('2 OSRL'!$V3:$V154,"Not started")/90</f>
        <v>2.2222222222222223E-2</v>
      </c>
      <c r="BC6" s="577">
        <f>COUNTIF('2 OSRL'!$X3:$X154,"technical")/90</f>
        <v>2.2222222222222223E-2</v>
      </c>
      <c r="BD6" s="577">
        <f>COUNTIF('2 OSRL'!$X3:$X154,"training")/90</f>
        <v>1.1111111111111112E-2</v>
      </c>
      <c r="BE6" s="577">
        <f>COUNTIF('2 OSRL'!$X3:$X154,"legal")/90</f>
        <v>0</v>
      </c>
      <c r="BF6" s="577">
        <f>COUNTIF('2 OSRL'!$X3:$X154,"investment")/90</f>
        <v>0</v>
      </c>
      <c r="BG6" s="578">
        <f>SUM('2 OSRL'!$Z3:$Z154)</f>
        <v>0</v>
      </c>
      <c r="BH6" s="590"/>
      <c r="BI6" s="51" t="s">
        <v>14</v>
      </c>
      <c r="BJ6" s="52" t="s">
        <v>15</v>
      </c>
      <c r="BK6" s="587">
        <f>COUNTA('3 Federchimica'!$R3:$R154)/90</f>
        <v>0</v>
      </c>
      <c r="BL6" s="576">
        <f>COUNTIF('3 Federchimica'!$V3:$V154,"In Progress")/90</f>
        <v>0</v>
      </c>
      <c r="BM6" s="577">
        <f>COUNTIF('3 Federchimica'!$V3:$V154,"Completed")/90</f>
        <v>0</v>
      </c>
      <c r="BN6" s="577">
        <f>COUNTIF('3 Federchimica'!$V3:$V154,"Not started")/90</f>
        <v>0</v>
      </c>
      <c r="BO6" s="577">
        <f>COUNTIF('3 Federchimica'!$X3:$X154,"technical")/90</f>
        <v>0</v>
      </c>
      <c r="BP6" s="577">
        <f>COUNTIF('3 Federchimica'!$X3:$X154,"training")/90</f>
        <v>0</v>
      </c>
      <c r="BQ6" s="577">
        <f>COUNTIF('3 Federchimica'!$X3:$X154,"legal")/90</f>
        <v>0</v>
      </c>
      <c r="BR6" s="577">
        <f>COUNTIF('3 Federchimica'!$X3:$X154,"investment")/90</f>
        <v>0</v>
      </c>
      <c r="BS6" s="578">
        <f>SUM('3 Federchimica'!$Z3:$Z154)</f>
        <v>0</v>
      </c>
      <c r="BU6" s="51" t="s">
        <v>14</v>
      </c>
      <c r="BV6" s="52" t="s">
        <v>15</v>
      </c>
      <c r="BW6" s="587">
        <f>COUNTA('4 IOI'!$R3:$R154)/90</f>
        <v>0</v>
      </c>
      <c r="BX6" s="576">
        <f>COUNTIF('4 IOI'!$V3:$V154,"In Progress")/90</f>
        <v>0</v>
      </c>
      <c r="BY6" s="577">
        <f>COUNTIF('4 IOI'!$V3:$V154,"Completed")/90</f>
        <v>0</v>
      </c>
      <c r="BZ6" s="577">
        <f>COUNTIF('4 IOI'!$V3:$V154,"Not started")/90</f>
        <v>0</v>
      </c>
      <c r="CA6" s="577">
        <f>COUNTIF('4 IOI'!$X3:$X154,"technical")/90</f>
        <v>0</v>
      </c>
      <c r="CB6" s="577">
        <f>COUNTIF('4 IOI'!$X3:$X154,"training")/90</f>
        <v>0</v>
      </c>
      <c r="CC6" s="577">
        <f>COUNTIF('4 IOI'!$X3:$X154,"legal")/90</f>
        <v>0</v>
      </c>
      <c r="CD6" s="577">
        <f>COUNTIF('4 IOI'!$X3:$X154,"investment")/90</f>
        <v>0</v>
      </c>
      <c r="CE6" s="578">
        <f>SUM('4 IOI'!$Z3:$Z154)</f>
        <v>0</v>
      </c>
      <c r="CG6" s="51" t="s">
        <v>14</v>
      </c>
      <c r="CH6" s="52" t="s">
        <v>15</v>
      </c>
      <c r="CI6" s="587">
        <f>COUNTA('6 PAM'!$R3:$R154)/90</f>
        <v>0</v>
      </c>
      <c r="CJ6" s="576">
        <f>COUNTIF('6 PAM'!$V3:$V154,"In Progress")/90</f>
        <v>0</v>
      </c>
      <c r="CK6" s="577">
        <f>COUNTIF('6 PAM'!$V3:$V154,"Completed")/90</f>
        <v>0</v>
      </c>
      <c r="CL6" s="577">
        <f>COUNTIF('6 PAM'!$V3:$V154,"Not started")/90</f>
        <v>0</v>
      </c>
      <c r="CM6" s="577">
        <f>COUNTIF('6 PAM'!$X3:$X154,"technical")/90</f>
        <v>0</v>
      </c>
      <c r="CN6" s="577">
        <f>COUNTIF('6 PAM'!$X3:$X154,"training")/90</f>
        <v>0</v>
      </c>
      <c r="CO6" s="577">
        <f>COUNTIF('6 PAM'!$X3:$X154,"legal")/90</f>
        <v>0</v>
      </c>
      <c r="CP6" s="577">
        <f>COUNTIF('6 PAM'!$X3:$X154,"investment")/90</f>
        <v>0</v>
      </c>
      <c r="CQ6" s="578">
        <f>SUM('6 PAM'!$Z3:$Z154)</f>
        <v>0</v>
      </c>
      <c r="CS6" s="51" t="s">
        <v>14</v>
      </c>
      <c r="CT6" s="52" t="s">
        <v>15</v>
      </c>
      <c r="CU6" s="587">
        <f>COUNTA('7 CLIA'!$R3:$R154)/90</f>
        <v>7.7777777777777779E-2</v>
      </c>
      <c r="CV6" s="576">
        <f>COUNTIF('7 CLIA'!$V3:$V154,"In Progress")/90</f>
        <v>7.7777777777777779E-2</v>
      </c>
      <c r="CW6" s="577">
        <f>COUNTIF('7 CLIA'!$V3:$V154,"Completed")/90</f>
        <v>0</v>
      </c>
      <c r="CX6" s="577">
        <f>COUNTIF('7 CLIA'!$V3:$V154,"Not started")/90</f>
        <v>0</v>
      </c>
      <c r="CY6" s="577">
        <f>COUNTIF('7 CLIA'!$X3:$X154,"technical")/90</f>
        <v>0</v>
      </c>
      <c r="CZ6" s="577">
        <f>COUNTIF('7 CLIA'!$X3:$X154,"training")/90</f>
        <v>0</v>
      </c>
      <c r="DA6" s="577">
        <f>COUNTIF('7 CLIA'!$X3:$X154,"legal")/90</f>
        <v>0</v>
      </c>
      <c r="DB6" s="577">
        <f>COUNTIF('7 CLIA'!$X3:$X154,"investment")/90</f>
        <v>0</v>
      </c>
      <c r="DC6" s="578">
        <f>SUM('7 CLIA'!$Z3:$Z154)</f>
        <v>0</v>
      </c>
      <c r="DE6" s="51" t="s">
        <v>14</v>
      </c>
      <c r="DF6" s="52" t="s">
        <v>15</v>
      </c>
      <c r="DG6" s="587">
        <f>COUNTA('8 IPIECA'!$R3:$R154)/90</f>
        <v>5.5555555555555552E-2</v>
      </c>
      <c r="DH6" s="576">
        <f>COUNTIF('8 IPIECA'!$V3:$V154,"In Progress")/90</f>
        <v>5.5555555555555552E-2</v>
      </c>
      <c r="DI6" s="577">
        <f>COUNTIF('8 IPIECA'!$V3:$V154,"Completed")/90</f>
        <v>0</v>
      </c>
      <c r="DJ6" s="577">
        <f>COUNTIF('8 IPIECA'!$V3:$V154,"Not started")/90</f>
        <v>0</v>
      </c>
      <c r="DK6" s="577">
        <f>COUNTIF('8 IPIECA'!$X3:$X154,"technical")/90</f>
        <v>0</v>
      </c>
      <c r="DL6" s="577">
        <f>COUNTIF('8 IPIECA'!$X3:$X154,"training")/90</f>
        <v>0</v>
      </c>
      <c r="DM6" s="577">
        <f>COUNTIF('8 IPIECA'!$X3:$X154,"legal")/90</f>
        <v>0</v>
      </c>
      <c r="DN6" s="577">
        <f>COUNTIF('8 IPIECA'!$X3:$X154,"investment")/90</f>
        <v>0</v>
      </c>
      <c r="DO6" s="578">
        <f>SUM('8 IPIECA'!$Z3:$Z154)</f>
        <v>0</v>
      </c>
      <c r="DQ6" s="51" t="s">
        <v>14</v>
      </c>
      <c r="DR6" s="52" t="s">
        <v>15</v>
      </c>
      <c r="DS6" s="587">
        <f>COUNTA('9 Med Cruise'!$R3:$R154)/90</f>
        <v>0</v>
      </c>
      <c r="DT6" s="576">
        <f>COUNTIF('9 Med Cruise'!$V3:$V154,"In Progress")/90</f>
        <v>0</v>
      </c>
      <c r="DU6" s="577">
        <f>COUNTIF('9 Med Cruise'!$V3:$V154,"Completed")/90</f>
        <v>0</v>
      </c>
      <c r="DV6" s="577">
        <f>COUNTIF('9 Med Cruise'!$V3:$V154,"Not started")/90</f>
        <v>0</v>
      </c>
      <c r="DW6" s="577">
        <f>COUNTIF('9 Med Cruise'!$X3:$X154,"technical")/90</f>
        <v>0</v>
      </c>
      <c r="DX6" s="577">
        <f>COUNTIF('9 Med Cruise'!$X3:$X154,"training")/90</f>
        <v>0</v>
      </c>
      <c r="DY6" s="577">
        <f>COUNTIF('9 Med Cruise'!$X3:$X154,"legal")/90</f>
        <v>0</v>
      </c>
      <c r="DZ6" s="577">
        <f>COUNTIF('9 Med Cruise'!$X3:$X154,"investment")/90</f>
        <v>0</v>
      </c>
      <c r="EA6" s="578">
        <f>SUM('9 Med Cruise'!$Z3:$Z154)</f>
        <v>0</v>
      </c>
      <c r="EC6" s="51" t="s">
        <v>14</v>
      </c>
      <c r="ED6" s="52" t="s">
        <v>15</v>
      </c>
      <c r="EE6" s="587">
        <f>COUNTA('12 West Med'!$R3:$R154)/90</f>
        <v>4.4444444444444446E-2</v>
      </c>
      <c r="EF6" s="576">
        <f>COUNTIF('12 West Med'!$V3:$V154,"In Progress")/90</f>
        <v>0</v>
      </c>
      <c r="EG6" s="577">
        <f>COUNTIF('12 West Med'!$V3:$V154,"Completed")/90</f>
        <v>0</v>
      </c>
      <c r="EH6" s="577">
        <f>COUNTIF('12 West Med'!$V3:$V154,"Not started")/90</f>
        <v>0</v>
      </c>
      <c r="EI6" s="577">
        <f>COUNTIF('12 West Med'!$X3:$X154,"technical")/90</f>
        <v>0</v>
      </c>
      <c r="EJ6" s="577">
        <f>COUNTIF('12 West Med'!$X3:$X154,"training")/90</f>
        <v>0</v>
      </c>
      <c r="EK6" s="577">
        <f>COUNTIF('12 West Med'!$X3:$X154,"legal")/90</f>
        <v>0</v>
      </c>
      <c r="EL6" s="577">
        <f>COUNTIF('12 West Med'!$X3:$X154,"investment")/90</f>
        <v>0</v>
      </c>
      <c r="EM6" s="578">
        <f>SUM('12 West Med'!$Z3:$Z154)</f>
        <v>0</v>
      </c>
      <c r="EO6" s="51" t="s">
        <v>14</v>
      </c>
      <c r="EP6" s="52" t="s">
        <v>15</v>
      </c>
      <c r="EQ6" s="587">
        <f>COUNTA('13 OC'!$R3:$R154)/90</f>
        <v>0</v>
      </c>
      <c r="ER6" s="576">
        <f>COUNTIF('13 OC'!$V3:$V154,"In Progress")/90</f>
        <v>0</v>
      </c>
      <c r="ES6" s="577">
        <f>COUNTIF('13 OC'!$V3:$V154,"Completed")/90</f>
        <v>0</v>
      </c>
      <c r="ET6" s="577">
        <f>COUNTIF('13 OC'!$V3:$V154,"Not started")/90</f>
        <v>0</v>
      </c>
      <c r="EU6" s="577">
        <f>COUNTIF('13 OC'!$X3:$X154,"technical")/90</f>
        <v>0</v>
      </c>
      <c r="EV6" s="577">
        <f>COUNTIF('13 OC'!$X3:$X154,"training")/90</f>
        <v>0</v>
      </c>
      <c r="EW6" s="577">
        <f>COUNTIF('13 OC'!$X3:$X154,"legal")/90</f>
        <v>0</v>
      </c>
      <c r="EX6" s="577">
        <f>COUNTIF('13 OC'!$X3:$X154,"investment")/90</f>
        <v>0</v>
      </c>
      <c r="EY6" s="578">
        <f>SUM('13 OC'!$Z3:$Z154)</f>
        <v>0</v>
      </c>
      <c r="FA6" s="51" t="s">
        <v>14</v>
      </c>
      <c r="FB6" s="52" t="s">
        <v>15</v>
      </c>
      <c r="FC6" s="587">
        <f>COUNTA('14 Sea Alarm'!$R3:$R154)/90</f>
        <v>3.3333333333333333E-2</v>
      </c>
      <c r="FD6" s="576">
        <f>COUNTIF('14 Sea Alarm'!$V3:$V154,"In Progress")/90</f>
        <v>2.2222222222222223E-2</v>
      </c>
      <c r="FE6" s="577">
        <f>COUNTIF('14 Sea Alarm'!$V3:$V154,"Completed")/90</f>
        <v>0</v>
      </c>
      <c r="FF6" s="577">
        <f>COUNTIF('14 Sea Alarm'!$V3:$V154,"Not started")/90</f>
        <v>1.1111111111111112E-2</v>
      </c>
      <c r="FG6" s="577">
        <f>COUNTIF('14 Sea Alarm'!$X3:$X154,"technical")/90</f>
        <v>1.1111111111111112E-2</v>
      </c>
      <c r="FH6" s="577">
        <f>COUNTIF('14 Sea Alarm'!$X3:$X154,"training")/90</f>
        <v>2.2222222222222223E-2</v>
      </c>
      <c r="FI6" s="577">
        <f>COUNTIF('14 Sea Alarm'!$X3:$X154,"legal")/90</f>
        <v>0</v>
      </c>
      <c r="FJ6" s="577">
        <f>COUNTIF('14 Sea Alarm'!$X3:$X154,"investment")/90</f>
        <v>0</v>
      </c>
      <c r="FK6" s="578">
        <f>SUM('14 Sea Alarm'!$Z3:$Z154)</f>
        <v>0</v>
      </c>
      <c r="FM6" s="51" t="s">
        <v>14</v>
      </c>
      <c r="FN6" s="52" t="s">
        <v>15</v>
      </c>
      <c r="FO6" s="587">
        <f>COUNTA('15 ITOPF'!$R3:$R154)/90</f>
        <v>0.1111111111111111</v>
      </c>
      <c r="FP6" s="576">
        <f>COUNTIF('15 ITOPF'!$V3:$V154,"In Progress")/90</f>
        <v>0.1111111111111111</v>
      </c>
      <c r="FQ6" s="577">
        <f>COUNTIF('15 ITOPF'!$V3:$V154,"Completed")/90</f>
        <v>0</v>
      </c>
      <c r="FR6" s="577">
        <f>COUNTIF('15 ITOPF'!$V3:$V154,"Not started")/90</f>
        <v>0</v>
      </c>
      <c r="FS6" s="577">
        <f>COUNTIF('15 ITOPF'!$X3:$X154,"technical")/90</f>
        <v>3.3333333333333333E-2</v>
      </c>
      <c r="FT6" s="577">
        <f>COUNTIF('15 ITOPF'!$X3:$X154,"training")/90</f>
        <v>7.7777777777777779E-2</v>
      </c>
      <c r="FU6" s="577">
        <f>COUNTIF('15 ITOPF'!$X3:$X154,"legal")/90</f>
        <v>0</v>
      </c>
      <c r="FV6" s="577">
        <f>COUNTIF('15 ITOPF'!$X3:$X154,"investment")/90</f>
        <v>0</v>
      </c>
      <c r="FW6" s="578">
        <f>SUM('15 ITOPF'!$Z3:$Z154)</f>
        <v>172500</v>
      </c>
    </row>
    <row r="7" spans="1:179" s="59" customFormat="1" ht="69" customHeight="1">
      <c r="A7" s="51" t="s">
        <v>16</v>
      </c>
      <c r="B7" s="52" t="s">
        <v>17</v>
      </c>
      <c r="C7" s="587">
        <f>COUNTA('10 REMPEC'!$R156:$R213)/49</f>
        <v>0.75510204081632648</v>
      </c>
      <c r="D7" s="576">
        <f>COUNTIF('10 REMPEC'!$V156:$V213,"In Progress")/49</f>
        <v>8.1632653061224483E-2</v>
      </c>
      <c r="E7" s="577">
        <f>COUNTIF('10 REMPEC'!$V156:$V213,"completed")/49</f>
        <v>0</v>
      </c>
      <c r="F7" s="577">
        <f>COUNTIF('10 REMPEC'!$V156:$V213,"Not started")/49</f>
        <v>0.61224489795918369</v>
      </c>
      <c r="G7" s="577">
        <f>COUNTIF('10 REMPEC'!$X156:$X213,"technical")/49</f>
        <v>4.0816326530612242E-2</v>
      </c>
      <c r="H7" s="577">
        <f>COUNTIF('10 REMPEC'!$X156:$X213,"training")/49</f>
        <v>0.59183673469387754</v>
      </c>
      <c r="I7" s="577">
        <f>COUNTIF('10 REMPEC'!$X156:$X213,"legal")/49</f>
        <v>4.0816326530612242E-2</v>
      </c>
      <c r="J7" s="577">
        <f>COUNTIF('10 REMPEC'!$X156:$X213,"investment")/49</f>
        <v>0</v>
      </c>
      <c r="K7" s="578">
        <f>SUM('10 REMPEC'!$Z156:$Z213)</f>
        <v>4350000</v>
      </c>
      <c r="M7" s="51" t="s">
        <v>16</v>
      </c>
      <c r="N7" s="52" t="s">
        <v>17</v>
      </c>
      <c r="O7" s="587">
        <f>COUNTA('11 EMSA'!$R156:$R213)/49</f>
        <v>0.22448979591836735</v>
      </c>
      <c r="P7" s="576">
        <f>COUNTIF('11 EMSA'!$V156:$V213,"In Progress")/49</f>
        <v>0.5714285714285714</v>
      </c>
      <c r="Q7" s="577">
        <f>COUNTIF('11 EMSA'!$V156:$V213,"completed")/49</f>
        <v>2.0408163265306121E-2</v>
      </c>
      <c r="R7" s="577">
        <f>COUNTIF('11 EMSA'!$V156:$V213,"Not started")/49</f>
        <v>0</v>
      </c>
      <c r="S7" s="577">
        <f>COUNTIF('11 EMSA'!$X156:$X213,"technical")/49</f>
        <v>0.40816326530612246</v>
      </c>
      <c r="T7" s="577">
        <f>COUNTIF('11 EMSA'!$X156:$X213,"training")/49</f>
        <v>2.0408163265306121E-2</v>
      </c>
      <c r="U7" s="577">
        <f>COUNTIF('11 EMSA'!$X156:$X213,"legal")/49</f>
        <v>0</v>
      </c>
      <c r="V7" s="577">
        <f>COUNTIF('11 EMSA'!$X156:$X213,"investment")/49</f>
        <v>0</v>
      </c>
      <c r="W7" s="578">
        <f>SUM('11 EMSA'!$Z156:$Z213)</f>
        <v>0</v>
      </c>
      <c r="X7" s="591"/>
      <c r="Y7" s="51" t="s">
        <v>16</v>
      </c>
      <c r="Z7" s="52" t="s">
        <v>17</v>
      </c>
      <c r="AA7" s="587">
        <f>COUNTA('5 CEDRE'!$R156:$R213)/49</f>
        <v>0</v>
      </c>
      <c r="AB7" s="576">
        <f>COUNTIF('5 CEDRE'!$V156:$V213,"In Progress")/49</f>
        <v>0</v>
      </c>
      <c r="AC7" s="577">
        <f>COUNTIF('5 CEDRE'!$V156:$V213,"completed")/49</f>
        <v>0</v>
      </c>
      <c r="AD7" s="577">
        <f>COUNTIF('5 CEDRE'!$V156:$V213,"Not started")/49</f>
        <v>0</v>
      </c>
      <c r="AE7" s="577">
        <f>COUNTIF('5 CEDRE'!$X156:$X213,"technical")/49</f>
        <v>0</v>
      </c>
      <c r="AF7" s="577">
        <f>COUNTIF('5 CEDRE'!$X156:$X213,"training")/49</f>
        <v>0</v>
      </c>
      <c r="AG7" s="577">
        <f>COUNTIF('5 CEDRE'!$X156:$X213,"legal")/49</f>
        <v>0</v>
      </c>
      <c r="AH7" s="577">
        <f>COUNTIF('5 CEDRE'!$X156:$X213,"investment")/49</f>
        <v>0</v>
      </c>
      <c r="AI7" s="578">
        <f>SUM('5 CEDRE'!$Z156:$Z213)</f>
        <v>0</v>
      </c>
      <c r="AJ7" s="591"/>
      <c r="AK7" s="51" t="s">
        <v>16</v>
      </c>
      <c r="AL7" s="52" t="s">
        <v>17</v>
      </c>
      <c r="AM7" s="587">
        <f>COUNTA('1 UfM'!$R156:$R213)/49</f>
        <v>4.0816326530612242E-2</v>
      </c>
      <c r="AN7" s="576">
        <f>COUNTIF('1 UfM'!$V156:$V213,"In Progress")/49</f>
        <v>4.0816326530612242E-2</v>
      </c>
      <c r="AO7" s="577">
        <f>COUNTIF('1 UfM'!$V156:$V213,"completed")/49</f>
        <v>0</v>
      </c>
      <c r="AP7" s="577">
        <f>COUNTIF('1 UfM'!$V156:$V213,"Not started")/49</f>
        <v>0</v>
      </c>
      <c r="AQ7" s="577">
        <f>COUNTIF('1 UfM'!$X156:$X213,"technical")/49</f>
        <v>4.0816326530612242E-2</v>
      </c>
      <c r="AR7" s="577">
        <f>COUNTIF('1 UfM'!$X156:$X213,"training")/49</f>
        <v>0</v>
      </c>
      <c r="AS7" s="577">
        <f>COUNTIF('1 UfM'!$X156:$X213,"legal")/49</f>
        <v>0</v>
      </c>
      <c r="AT7" s="577">
        <f>COUNTIF('1 UfM'!$X156:$X213,"investment")/49</f>
        <v>0</v>
      </c>
      <c r="AU7" s="578">
        <f>SUM('1 UfM'!$Z156:$Z213)</f>
        <v>0</v>
      </c>
      <c r="AV7" s="590"/>
      <c r="AW7" s="51" t="s">
        <v>16</v>
      </c>
      <c r="AX7" s="52" t="s">
        <v>17</v>
      </c>
      <c r="AY7" s="587">
        <f>COUNTA('2 OSRL'!$R156:$R213)/49</f>
        <v>0</v>
      </c>
      <c r="AZ7" s="576">
        <f>COUNTIF('2 OSRL'!$V156:$V213,"In Progress")/49</f>
        <v>0</v>
      </c>
      <c r="BA7" s="577">
        <f>COUNTIF('2 OSRL'!$V156:$V213,"completed")/49</f>
        <v>0</v>
      </c>
      <c r="BB7" s="577">
        <f>COUNTIF('2 OSRL'!$V156:$V213,"Not started")/49</f>
        <v>0</v>
      </c>
      <c r="BC7" s="577">
        <f>COUNTIF('2 OSRL'!$X156:$X213,"technical")/49</f>
        <v>0</v>
      </c>
      <c r="BD7" s="577">
        <f>COUNTIF('2 OSRL'!$X156:$X213,"training")/49</f>
        <v>0</v>
      </c>
      <c r="BE7" s="577">
        <f>COUNTIF('2 OSRL'!$X156:$X213,"legal")/49</f>
        <v>0</v>
      </c>
      <c r="BF7" s="577">
        <f>COUNTIF('2 OSRL'!$X156:$X213,"investment")/49</f>
        <v>0</v>
      </c>
      <c r="BG7" s="578">
        <f>SUM('2 OSRL'!$Z156:$Z213)</f>
        <v>0</v>
      </c>
      <c r="BH7" s="590"/>
      <c r="BI7" s="51" t="s">
        <v>16</v>
      </c>
      <c r="BJ7" s="52" t="s">
        <v>17</v>
      </c>
      <c r="BK7" s="587">
        <f>COUNTA('3 Federchimica'!$R156:$R213)/49</f>
        <v>0</v>
      </c>
      <c r="BL7" s="576">
        <f>COUNTIF('3 Federchimica'!$V156:$V213,"In Progress")/49</f>
        <v>0</v>
      </c>
      <c r="BM7" s="577">
        <f>COUNTIF('3 Federchimica'!$V156:$V213,"completed")/49</f>
        <v>0</v>
      </c>
      <c r="BN7" s="577">
        <f>COUNTIF('3 Federchimica'!$V156:$V213,"Not started")/49</f>
        <v>0</v>
      </c>
      <c r="BO7" s="577">
        <f>COUNTIF('3 Federchimica'!$X156:$X213,"technical")/49</f>
        <v>0</v>
      </c>
      <c r="BP7" s="577">
        <f>COUNTIF('3 Federchimica'!$X156:$X213,"training")/49</f>
        <v>0</v>
      </c>
      <c r="BQ7" s="577">
        <f>COUNTIF('3 Federchimica'!$X156:$X213,"legal")/49</f>
        <v>0</v>
      </c>
      <c r="BR7" s="577">
        <f>COUNTIF('3 Federchimica'!$X156:$X213,"investment")/49</f>
        <v>0</v>
      </c>
      <c r="BS7" s="578">
        <f>SUM('3 Federchimica'!$Z156:$Z213)</f>
        <v>0</v>
      </c>
      <c r="BU7" s="51" t="s">
        <v>16</v>
      </c>
      <c r="BV7" s="52" t="s">
        <v>17</v>
      </c>
      <c r="BW7" s="587">
        <f>COUNTA('4 IOI'!$R156:$R213)/49</f>
        <v>0</v>
      </c>
      <c r="BX7" s="576">
        <f>COUNTIF('4 IOI'!$V156:$V213,"In Progress")/49</f>
        <v>0</v>
      </c>
      <c r="BY7" s="577">
        <f>COUNTIF('4 IOI'!$V156:$V213,"completed")/49</f>
        <v>0</v>
      </c>
      <c r="BZ7" s="577">
        <f>COUNTIF('4 IOI'!$V156:$V213,"Not started")/49</f>
        <v>0</v>
      </c>
      <c r="CA7" s="577">
        <f>COUNTIF('4 IOI'!$X156:$X213,"technical")/49</f>
        <v>0</v>
      </c>
      <c r="CB7" s="577">
        <f>COUNTIF('4 IOI'!$X156:$X213,"training")/49</f>
        <v>0</v>
      </c>
      <c r="CC7" s="577">
        <f>COUNTIF('4 IOI'!$X156:$X213,"legal")/49</f>
        <v>0</v>
      </c>
      <c r="CD7" s="577">
        <f>COUNTIF('4 IOI'!$X156:$X213,"investment")/49</f>
        <v>0</v>
      </c>
      <c r="CE7" s="578">
        <f>SUM('4 IOI'!$Z156:$Z213)</f>
        <v>0</v>
      </c>
      <c r="CG7" s="51" t="s">
        <v>16</v>
      </c>
      <c r="CH7" s="52" t="s">
        <v>17</v>
      </c>
      <c r="CI7" s="587">
        <f>COUNTA('6 PAM'!$R156:$R213)/49</f>
        <v>2.0408163265306121E-2</v>
      </c>
      <c r="CJ7" s="576">
        <f>COUNTIF('6 PAM'!$V156:$V213,"In Progress")/49</f>
        <v>0</v>
      </c>
      <c r="CK7" s="577">
        <f>COUNTIF('6 PAM'!$V156:$V213,"completed")/49</f>
        <v>0</v>
      </c>
      <c r="CL7" s="577">
        <f>COUNTIF('6 PAM'!$V156:$V213,"Not started")/49</f>
        <v>2.0408163265306121E-2</v>
      </c>
      <c r="CM7" s="577">
        <f>COUNTIF('6 PAM'!$X156:$X213,"technical")/49</f>
        <v>0</v>
      </c>
      <c r="CN7" s="577">
        <f>COUNTIF('6 PAM'!$X156:$X213,"training")/49</f>
        <v>0</v>
      </c>
      <c r="CO7" s="577">
        <f>COUNTIF('6 PAM'!$X156:$X213,"legal")/49</f>
        <v>2.0408163265306121E-2</v>
      </c>
      <c r="CP7" s="577">
        <f>COUNTIF('6 PAM'!$X156:$X213,"investment")/49</f>
        <v>0</v>
      </c>
      <c r="CQ7" s="578">
        <f>SUM('6 PAM'!$Z156:$Z213)</f>
        <v>0</v>
      </c>
      <c r="CS7" s="51" t="s">
        <v>16</v>
      </c>
      <c r="CT7" s="52" t="s">
        <v>17</v>
      </c>
      <c r="CU7" s="587">
        <f>COUNTA('7 CLIA'!$R156:$R213)/49</f>
        <v>8.1632653061224483E-2</v>
      </c>
      <c r="CV7" s="576">
        <f>COUNTIF('7 CLIA'!$V156:$V213,"In Progress")/49</f>
        <v>8.1632653061224483E-2</v>
      </c>
      <c r="CW7" s="577">
        <f>COUNTIF('7 CLIA'!$V156:$V213,"completed")/49</f>
        <v>0</v>
      </c>
      <c r="CX7" s="577">
        <f>COUNTIF('7 CLIA'!$V156:$V213,"Not started")/49</f>
        <v>0</v>
      </c>
      <c r="CY7" s="577">
        <f>COUNTIF('7 CLIA'!$X156:$X213,"technical")/49</f>
        <v>0</v>
      </c>
      <c r="CZ7" s="577">
        <f>COUNTIF('7 CLIA'!$X156:$X213,"training")/49</f>
        <v>0</v>
      </c>
      <c r="DA7" s="577">
        <f>COUNTIF('7 CLIA'!$X156:$X213,"legal")/49</f>
        <v>0</v>
      </c>
      <c r="DB7" s="577">
        <f>COUNTIF('7 CLIA'!$X156:$X213,"investment")/49</f>
        <v>0</v>
      </c>
      <c r="DC7" s="578">
        <f>SUM('7 CLIA'!$Z156:$Z213)</f>
        <v>0</v>
      </c>
      <c r="DE7" s="51" t="s">
        <v>16</v>
      </c>
      <c r="DF7" s="52" t="s">
        <v>17</v>
      </c>
      <c r="DG7" s="587">
        <f>COUNTA('8 IPIECA'!$R156:$R213)/49</f>
        <v>6.1224489795918366E-2</v>
      </c>
      <c r="DH7" s="576">
        <f>COUNTIF('8 IPIECA'!$V156:$V213,"In Progress")/49</f>
        <v>6.1224489795918366E-2</v>
      </c>
      <c r="DI7" s="577">
        <f>COUNTIF('8 IPIECA'!$V156:$V213,"completed")/49</f>
        <v>0</v>
      </c>
      <c r="DJ7" s="577">
        <f>COUNTIF('8 IPIECA'!$V156:$V213,"Not started")/49</f>
        <v>0</v>
      </c>
      <c r="DK7" s="577">
        <f>COUNTIF('8 IPIECA'!$X156:$X213,"technical")/49</f>
        <v>0</v>
      </c>
      <c r="DL7" s="577">
        <f>COUNTIF('8 IPIECA'!$X156:$X213,"training")/49</f>
        <v>0</v>
      </c>
      <c r="DM7" s="577">
        <f>COUNTIF('8 IPIECA'!$X156:$X213,"legal")/49</f>
        <v>0</v>
      </c>
      <c r="DN7" s="577">
        <f>COUNTIF('8 IPIECA'!$X156:$X213,"investment")/49</f>
        <v>0</v>
      </c>
      <c r="DO7" s="578">
        <f>SUM('8 IPIECA'!$Z156:$Z213)</f>
        <v>0</v>
      </c>
      <c r="DQ7" s="51" t="s">
        <v>16</v>
      </c>
      <c r="DR7" s="52" t="s">
        <v>17</v>
      </c>
      <c r="DS7" s="587">
        <f>COUNTA('9 Med Cruise'!$R156:$R213)/49</f>
        <v>6.1224489795918366E-2</v>
      </c>
      <c r="DT7" s="576">
        <f>COUNTIF('9 Med Cruise'!$V156:$V213,"In Progress")/49</f>
        <v>0</v>
      </c>
      <c r="DU7" s="577">
        <f>COUNTIF('9 Med Cruise'!$V156:$V213,"completed")/49</f>
        <v>0</v>
      </c>
      <c r="DV7" s="577">
        <f>COUNTIF('9 Med Cruise'!$V156:$V213,"Not started")/49</f>
        <v>0</v>
      </c>
      <c r="DW7" s="577">
        <f>COUNTIF('9 Med Cruise'!$X156:$X213,"technical")/49</f>
        <v>0</v>
      </c>
      <c r="DX7" s="577">
        <f>COUNTIF('9 Med Cruise'!$X156:$X213,"training")/49</f>
        <v>0</v>
      </c>
      <c r="DY7" s="577">
        <f>COUNTIF('9 Med Cruise'!$X156:$X213,"legal")/49</f>
        <v>0</v>
      </c>
      <c r="DZ7" s="577">
        <f>COUNTIF('9 Med Cruise'!$X156:$X213,"investment")/49</f>
        <v>0</v>
      </c>
      <c r="EA7" s="578">
        <f>SUM('9 Med Cruise'!$Z156:$Z213)</f>
        <v>0</v>
      </c>
      <c r="EC7" s="51" t="s">
        <v>16</v>
      </c>
      <c r="ED7" s="52" t="s">
        <v>17</v>
      </c>
      <c r="EE7" s="587">
        <f>COUNTA('12 West Med'!$R156:$R213)/49</f>
        <v>0.2857142857142857</v>
      </c>
      <c r="EF7" s="576">
        <f>COUNTIF('12 West Med'!$V156:$V213,"In Progress")/49</f>
        <v>0</v>
      </c>
      <c r="EG7" s="577">
        <f>COUNTIF('12 West Med'!$V156:$V213,"completed")/49</f>
        <v>0</v>
      </c>
      <c r="EH7" s="577">
        <f>COUNTIF('12 West Med'!$V156:$V213,"Not started")/49</f>
        <v>0</v>
      </c>
      <c r="EI7" s="577">
        <f>COUNTIF('12 West Med'!$X156:$X213,"technical")/49</f>
        <v>0</v>
      </c>
      <c r="EJ7" s="577">
        <f>COUNTIF('12 West Med'!$X156:$X213,"training")/49</f>
        <v>0</v>
      </c>
      <c r="EK7" s="577">
        <f>COUNTIF('12 West Med'!$X156:$X213,"legal")/49</f>
        <v>0</v>
      </c>
      <c r="EL7" s="577">
        <f>COUNTIF('12 West Med'!$X156:$X213,"investment")/49</f>
        <v>0</v>
      </c>
      <c r="EM7" s="578">
        <f>SUM('12 West Med'!$Z156:$Z213)</f>
        <v>0</v>
      </c>
      <c r="EO7" s="51" t="s">
        <v>16</v>
      </c>
      <c r="EP7" s="52" t="s">
        <v>17</v>
      </c>
      <c r="EQ7" s="587">
        <f>COUNTA('13 OC'!$R156:$R213)/49</f>
        <v>0</v>
      </c>
      <c r="ER7" s="576">
        <f>COUNTIF('13 OC'!$V156:$V213,"In Progress")/49</f>
        <v>0</v>
      </c>
      <c r="ES7" s="577">
        <f>COUNTIF('13 OC'!$V156:$V213,"completed")/49</f>
        <v>0</v>
      </c>
      <c r="ET7" s="577">
        <f>COUNTIF('13 OC'!$V156:$V213,"Not started")/49</f>
        <v>0</v>
      </c>
      <c r="EU7" s="577">
        <f>COUNTIF('13 OC'!$X156:$X213,"technical")/49</f>
        <v>0</v>
      </c>
      <c r="EV7" s="577">
        <f>COUNTIF('13 OC'!$X156:$X213,"training")/49</f>
        <v>0</v>
      </c>
      <c r="EW7" s="577">
        <f>COUNTIF('13 OC'!$X156:$X213,"legal")/49</f>
        <v>0</v>
      </c>
      <c r="EX7" s="577">
        <f>COUNTIF('13 OC'!$X156:$X213,"investment")/49</f>
        <v>0</v>
      </c>
      <c r="EY7" s="578">
        <f>SUM('13 OC'!$Z156:$Z213)</f>
        <v>0</v>
      </c>
      <c r="FA7" s="51" t="s">
        <v>16</v>
      </c>
      <c r="FB7" s="52" t="s">
        <v>17</v>
      </c>
      <c r="FC7" s="587">
        <f>COUNTA('14 Sea Alarm'!$R156:$R213)/49</f>
        <v>0</v>
      </c>
      <c r="FD7" s="576">
        <f>COUNTIF('14 Sea Alarm'!$V156:$V213,"In Progress")/49</f>
        <v>0</v>
      </c>
      <c r="FE7" s="577">
        <f>COUNTIF('14 Sea Alarm'!$V156:$V213,"completed")/49</f>
        <v>0</v>
      </c>
      <c r="FF7" s="577">
        <f>COUNTIF('14 Sea Alarm'!$V156:$V213,"Not started")/49</f>
        <v>0</v>
      </c>
      <c r="FG7" s="577">
        <f>COUNTIF('14 Sea Alarm'!$X156:$X213,"technical")/49</f>
        <v>0</v>
      </c>
      <c r="FH7" s="577">
        <f>COUNTIF('14 Sea Alarm'!$X156:$X213,"training")/49</f>
        <v>0</v>
      </c>
      <c r="FI7" s="577">
        <f>COUNTIF('14 Sea Alarm'!$X156:$X213,"legal")/49</f>
        <v>0</v>
      </c>
      <c r="FJ7" s="577">
        <f>COUNTIF('14 Sea Alarm'!$X156:$X213,"investment")/49</f>
        <v>0</v>
      </c>
      <c r="FK7" s="578">
        <f>SUM('14 Sea Alarm'!$Z156:$Z213)</f>
        <v>0</v>
      </c>
      <c r="FM7" s="51" t="s">
        <v>16</v>
      </c>
      <c r="FN7" s="52" t="s">
        <v>17</v>
      </c>
      <c r="FO7" s="587">
        <f>COUNTA('15 ITOPF'!$R156:$R213)/49</f>
        <v>0</v>
      </c>
      <c r="FP7" s="576">
        <f>COUNTIF('15 ITOPF'!$V156:$V213,"In Progress")/49</f>
        <v>0</v>
      </c>
      <c r="FQ7" s="577">
        <f>COUNTIF('15 ITOPF'!$V156:$V213,"completed")/49</f>
        <v>0</v>
      </c>
      <c r="FR7" s="577">
        <f>COUNTIF('15 ITOPF'!$V156:$V213,"Not started")/49</f>
        <v>0</v>
      </c>
      <c r="FS7" s="577">
        <f>COUNTIF('15 ITOPF'!$X156:$X213,"technical")/49</f>
        <v>0</v>
      </c>
      <c r="FT7" s="577">
        <f>COUNTIF('15 ITOPF'!$X156:$X213,"training")/49</f>
        <v>0</v>
      </c>
      <c r="FU7" s="577">
        <f>COUNTIF('15 ITOPF'!$X156:$X213,"legal")/49</f>
        <v>0</v>
      </c>
      <c r="FV7" s="577">
        <f>COUNTIF('15 ITOPF'!$X156:$X213,"investment")/49</f>
        <v>0</v>
      </c>
      <c r="FW7" s="578">
        <f>SUM('15 ITOPF'!$Z156:$Z213)</f>
        <v>0</v>
      </c>
    </row>
    <row r="8" spans="1:179" s="59" customFormat="1" ht="69" customHeight="1">
      <c r="A8" s="51" t="s">
        <v>18</v>
      </c>
      <c r="B8" s="52" t="s">
        <v>19</v>
      </c>
      <c r="C8" s="587">
        <f>COUNTA('10 REMPEC'!$R215:$R255)/37</f>
        <v>0.64864864864864868</v>
      </c>
      <c r="D8" s="576">
        <f>COUNTIF('10 REMPEC'!$V215:$V255,"In Progress")/37</f>
        <v>0.1891891891891892</v>
      </c>
      <c r="E8" s="577">
        <f>COUNTIF('10 REMPEC'!$V215:$V255,"completed")/37</f>
        <v>0</v>
      </c>
      <c r="F8" s="577">
        <f>COUNTIF('10 REMPEC'!$V215:$V255,"Not started")/37</f>
        <v>0.43243243243243246</v>
      </c>
      <c r="G8" s="577">
        <f>COUNTIF('10 REMPEC'!$X215:$X255,"technical")/37</f>
        <v>0.16216216216216217</v>
      </c>
      <c r="H8" s="577">
        <f>COUNTIF('10 REMPEC'!$X215:$X255,"training")/37</f>
        <v>0.43243243243243246</v>
      </c>
      <c r="I8" s="577">
        <f>COUNTIF('10 REMPEC'!$X215:$X255,"legal")/37</f>
        <v>2.7027027027027029E-2</v>
      </c>
      <c r="J8" s="577">
        <f>COUNTIF('10 REMPEC'!$X215:$X255,"investment")/37</f>
        <v>0</v>
      </c>
      <c r="K8" s="578">
        <f>SUM('10 REMPEC'!$Z215:$Z255)</f>
        <v>251058</v>
      </c>
      <c r="M8" s="51" t="s">
        <v>18</v>
      </c>
      <c r="N8" s="52" t="s">
        <v>19</v>
      </c>
      <c r="O8" s="587">
        <f>COUNTA('11 EMSA'!$R215:$R255)/37</f>
        <v>0.24324324324324326</v>
      </c>
      <c r="P8" s="576">
        <f>COUNTIF('11 EMSA'!$V215:$V255,"In Progress")/37</f>
        <v>0.13513513513513514</v>
      </c>
      <c r="Q8" s="577">
        <f>COUNTIF('11 EMSA'!$V215:$V255,"completed")/37</f>
        <v>5.4054054054054057E-2</v>
      </c>
      <c r="R8" s="577">
        <f>COUNTIF('11 EMSA'!$V215:$V255,"Not started")/37</f>
        <v>2.7027027027027029E-2</v>
      </c>
      <c r="S8" s="577">
        <f>COUNTIF('11 EMSA'!$X215:$X255,"technical")/37</f>
        <v>0</v>
      </c>
      <c r="T8" s="577">
        <f>COUNTIF('11 EMSA'!$X215:$X255,"training")/37</f>
        <v>0</v>
      </c>
      <c r="U8" s="577">
        <f>COUNTIF('11 EMSA'!$X215:$X255,"legal")/37</f>
        <v>0</v>
      </c>
      <c r="V8" s="577">
        <f>COUNTIF('11 EMSA'!$X215:$X255,"investment")/37</f>
        <v>0</v>
      </c>
      <c r="W8" s="578">
        <f>SUM('11 EMSA'!$Z215:$Z255)</f>
        <v>0</v>
      </c>
      <c r="X8" s="591"/>
      <c r="Y8" s="51" t="s">
        <v>18</v>
      </c>
      <c r="Z8" s="52" t="s">
        <v>19</v>
      </c>
      <c r="AA8" s="587">
        <f>COUNTA('5 CEDRE'!$R215:$R255)/37</f>
        <v>0</v>
      </c>
      <c r="AB8" s="576">
        <f>COUNTIF('5 CEDRE'!$V215:$V255,"In Progress")/37</f>
        <v>0</v>
      </c>
      <c r="AC8" s="577">
        <f>COUNTIF('5 CEDRE'!$V215:$V255,"completed")/37</f>
        <v>0</v>
      </c>
      <c r="AD8" s="577">
        <f>COUNTIF('5 CEDRE'!$V215:$V255,"Not started")/37</f>
        <v>0</v>
      </c>
      <c r="AE8" s="577">
        <f>COUNTIF('5 CEDRE'!$X215:$X255,"technical")/37</f>
        <v>0</v>
      </c>
      <c r="AF8" s="577">
        <f>COUNTIF('5 CEDRE'!$X215:$X255,"training")/37</f>
        <v>0</v>
      </c>
      <c r="AG8" s="577">
        <f>COUNTIF('5 CEDRE'!$X215:$X255,"legal")/37</f>
        <v>0</v>
      </c>
      <c r="AH8" s="577">
        <f>COUNTIF('5 CEDRE'!$X215:$X255,"investment")/37</f>
        <v>0</v>
      </c>
      <c r="AI8" s="578">
        <f>SUM('5 CEDRE'!$Z215:$Z255)</f>
        <v>0</v>
      </c>
      <c r="AJ8" s="591"/>
      <c r="AK8" s="51" t="s">
        <v>18</v>
      </c>
      <c r="AL8" s="52" t="s">
        <v>19</v>
      </c>
      <c r="AM8" s="587">
        <f>COUNTA('1 UfM'!$R215:$R255)/37</f>
        <v>5.4054054054054057E-2</v>
      </c>
      <c r="AN8" s="576">
        <f>COUNTIF('1 UfM'!$V215:$V255,"In Progress")/37</f>
        <v>5.4054054054054057E-2</v>
      </c>
      <c r="AO8" s="577">
        <f>COUNTIF('1 UfM'!$V215:$V255,"completed")/37</f>
        <v>0</v>
      </c>
      <c r="AP8" s="577">
        <f>COUNTIF('1 UfM'!$V215:$V255,"Not started")/37</f>
        <v>0</v>
      </c>
      <c r="AQ8" s="577">
        <f>COUNTIF('1 UfM'!$X215:$X255,"technical")/37</f>
        <v>2.7027027027027029E-2</v>
      </c>
      <c r="AR8" s="577">
        <f>COUNTIF('1 UfM'!$X215:$X255,"training")/37</f>
        <v>0</v>
      </c>
      <c r="AS8" s="577">
        <f>COUNTIF('1 UfM'!$X215:$X255,"legal")/37</f>
        <v>0</v>
      </c>
      <c r="AT8" s="577">
        <f>COUNTIF('1 UfM'!$X215:$X255,"investment")/37</f>
        <v>0</v>
      </c>
      <c r="AU8" s="578">
        <f>SUM('1 UfM'!$Z215:$Z255)</f>
        <v>0</v>
      </c>
      <c r="AV8" s="590"/>
      <c r="AW8" s="51" t="s">
        <v>18</v>
      </c>
      <c r="AX8" s="52" t="s">
        <v>19</v>
      </c>
      <c r="AY8" s="587">
        <f>COUNTA('2 OSRL'!$R215:$R255)/37</f>
        <v>0</v>
      </c>
      <c r="AZ8" s="576">
        <f>COUNTIF('2 OSRL'!$V215:$V255,"In Progress")/37</f>
        <v>0</v>
      </c>
      <c r="BA8" s="577">
        <f>COUNTIF('2 OSRL'!$V215:$V255,"completed")/37</f>
        <v>0</v>
      </c>
      <c r="BB8" s="577">
        <f>COUNTIF('2 OSRL'!$V215:$V255,"Not started")/37</f>
        <v>0</v>
      </c>
      <c r="BC8" s="577">
        <f>COUNTIF('2 OSRL'!$X215:$X255,"technical")/37</f>
        <v>0</v>
      </c>
      <c r="BD8" s="577">
        <f>COUNTIF('2 OSRL'!$X215:$X255,"training")/37</f>
        <v>0</v>
      </c>
      <c r="BE8" s="577">
        <f>COUNTIF('2 OSRL'!$X215:$X255,"legal")/37</f>
        <v>0</v>
      </c>
      <c r="BF8" s="577">
        <f>COUNTIF('2 OSRL'!$X215:$X255,"investment")/37</f>
        <v>0</v>
      </c>
      <c r="BG8" s="578">
        <f>SUM('2 OSRL'!$Z215:$Z255)</f>
        <v>0</v>
      </c>
      <c r="BH8" s="590"/>
      <c r="BI8" s="51" t="s">
        <v>18</v>
      </c>
      <c r="BJ8" s="52" t="s">
        <v>19</v>
      </c>
      <c r="BK8" s="587">
        <f>COUNTA('3 Federchimica'!$R215:$R255)/37</f>
        <v>2.7027027027027029E-2</v>
      </c>
      <c r="BL8" s="576">
        <f>COUNTIF('3 Federchimica'!$V215:$V255,"In Progress")/37</f>
        <v>0</v>
      </c>
      <c r="BM8" s="577">
        <f>COUNTIF('3 Federchimica'!$V215:$V255,"completed")/37</f>
        <v>0</v>
      </c>
      <c r="BN8" s="577">
        <f>COUNTIF('3 Federchimica'!$V215:$V255,"Not started")/37</f>
        <v>0</v>
      </c>
      <c r="BO8" s="577">
        <f>COUNTIF('3 Federchimica'!$X215:$X255,"technical")/37</f>
        <v>0</v>
      </c>
      <c r="BP8" s="577">
        <f>COUNTIF('3 Federchimica'!$X215:$X255,"training")/37</f>
        <v>0</v>
      </c>
      <c r="BQ8" s="577">
        <f>COUNTIF('3 Federchimica'!$X215:$X255,"legal")/37</f>
        <v>0</v>
      </c>
      <c r="BR8" s="577">
        <f>COUNTIF('3 Federchimica'!$X215:$X255,"investment")/37</f>
        <v>0</v>
      </c>
      <c r="BS8" s="578">
        <f>SUM('3 Federchimica'!$Z215:$Z255)</f>
        <v>0</v>
      </c>
      <c r="BU8" s="51" t="s">
        <v>18</v>
      </c>
      <c r="BV8" s="52" t="s">
        <v>19</v>
      </c>
      <c r="BW8" s="587">
        <f>COUNTA('4 IOI'!$R215:$R255)/37</f>
        <v>2.7027027027027029E-2</v>
      </c>
      <c r="BX8" s="576">
        <f>COUNTIF('4 IOI'!$V215:$V255,"In Progress")/37</f>
        <v>2.7027027027027029E-2</v>
      </c>
      <c r="BY8" s="577">
        <f>COUNTIF('4 IOI'!$V215:$V255,"completed")/37</f>
        <v>0</v>
      </c>
      <c r="BZ8" s="577">
        <f>COUNTIF('4 IOI'!$V215:$V255,"Not started")/37</f>
        <v>0</v>
      </c>
      <c r="CA8" s="577">
        <f>COUNTIF('4 IOI'!$X215:$X255,"technical")/37</f>
        <v>0</v>
      </c>
      <c r="CB8" s="577">
        <f>COUNTIF('4 IOI'!$X215:$X255,"training")/37</f>
        <v>2.7027027027027029E-2</v>
      </c>
      <c r="CC8" s="577">
        <f>COUNTIF('4 IOI'!$X215:$X255,"legal")/37</f>
        <v>0</v>
      </c>
      <c r="CD8" s="577">
        <f>COUNTIF('4 IOI'!$X215:$X255,"investment")/37</f>
        <v>0</v>
      </c>
      <c r="CE8" s="578">
        <f>SUM('4 IOI'!$Z215:$Z255)</f>
        <v>0</v>
      </c>
      <c r="CG8" s="51" t="s">
        <v>18</v>
      </c>
      <c r="CH8" s="52" t="s">
        <v>19</v>
      </c>
      <c r="CI8" s="587">
        <f>COUNTA('6 PAM'!$R215:$R255)/37</f>
        <v>0</v>
      </c>
      <c r="CJ8" s="576">
        <f>COUNTIF('6 PAM'!$V215:$V255,"In Progress")/37</f>
        <v>0</v>
      </c>
      <c r="CK8" s="577">
        <f>COUNTIF('6 PAM'!$V215:$V255,"completed")/37</f>
        <v>0</v>
      </c>
      <c r="CL8" s="577">
        <f>COUNTIF('6 PAM'!$V215:$V255,"Not started")/37</f>
        <v>0</v>
      </c>
      <c r="CM8" s="577">
        <f>COUNTIF('6 PAM'!$X215:$X255,"technical")/37</f>
        <v>0</v>
      </c>
      <c r="CN8" s="577">
        <f>COUNTIF('6 PAM'!$X215:$X255,"training")/37</f>
        <v>0</v>
      </c>
      <c r="CO8" s="577">
        <f>COUNTIF('6 PAM'!$X215:$X255,"legal")/37</f>
        <v>0</v>
      </c>
      <c r="CP8" s="577">
        <f>COUNTIF('6 PAM'!$X215:$X255,"investment")/37</f>
        <v>0</v>
      </c>
      <c r="CQ8" s="578">
        <f>SUM('6 PAM'!$Z215:$Z255)</f>
        <v>0</v>
      </c>
      <c r="CS8" s="51" t="s">
        <v>18</v>
      </c>
      <c r="CT8" s="52" t="s">
        <v>19</v>
      </c>
      <c r="CU8" s="587">
        <f>COUNTA('7 CLIA'!$R215:$R255)/37</f>
        <v>0</v>
      </c>
      <c r="CV8" s="576">
        <f>COUNTIF('7 CLIA'!$V215:$V255,"In Progress")/37</f>
        <v>0</v>
      </c>
      <c r="CW8" s="577">
        <f>COUNTIF('7 CLIA'!$V215:$V255,"completed")/37</f>
        <v>0</v>
      </c>
      <c r="CX8" s="577">
        <f>COUNTIF('7 CLIA'!$V215:$V255,"Not started")/37</f>
        <v>0</v>
      </c>
      <c r="CY8" s="577">
        <f>COUNTIF('7 CLIA'!$X215:$X255,"technical")/37</f>
        <v>0</v>
      </c>
      <c r="CZ8" s="577">
        <f>COUNTIF('7 CLIA'!$X215:$X255,"training")/37</f>
        <v>0</v>
      </c>
      <c r="DA8" s="577">
        <f>COUNTIF('7 CLIA'!$X215:$X255,"legal")/37</f>
        <v>0</v>
      </c>
      <c r="DB8" s="577">
        <f>COUNTIF('7 CLIA'!$X215:$X255,"investment")/37</f>
        <v>0</v>
      </c>
      <c r="DC8" s="578">
        <f>SUM('7 CLIA'!$Z215:$Z255)</f>
        <v>0</v>
      </c>
      <c r="DE8" s="51" t="s">
        <v>18</v>
      </c>
      <c r="DF8" s="52" t="s">
        <v>19</v>
      </c>
      <c r="DG8" s="587">
        <f>COUNTA('8 IPIECA'!$R215:$R255)/37</f>
        <v>8.1081081081081086E-2</v>
      </c>
      <c r="DH8" s="576">
        <f>COUNTIF('8 IPIECA'!$V215:$V255,"In Progress")/37</f>
        <v>2.7027027027027029E-2</v>
      </c>
      <c r="DI8" s="577">
        <f>COUNTIF('8 IPIECA'!$V215:$V255,"completed")/37</f>
        <v>0</v>
      </c>
      <c r="DJ8" s="577">
        <f>COUNTIF('8 IPIECA'!$V215:$V255,"Not started")/37</f>
        <v>5.4054054054054057E-2</v>
      </c>
      <c r="DK8" s="577">
        <f>COUNTIF('8 IPIECA'!$X215:$X255,"technical")/37</f>
        <v>0</v>
      </c>
      <c r="DL8" s="577">
        <f>COUNTIF('8 IPIECA'!$X215:$X255,"training")/37</f>
        <v>0</v>
      </c>
      <c r="DM8" s="577">
        <f>COUNTIF('8 IPIECA'!$X215:$X255,"legal")/37</f>
        <v>0</v>
      </c>
      <c r="DN8" s="577">
        <f>COUNTIF('8 IPIECA'!$X215:$X255,"investment")/37</f>
        <v>0</v>
      </c>
      <c r="DO8" s="578">
        <f>SUM('8 IPIECA'!$Z215:$Z255)</f>
        <v>0</v>
      </c>
      <c r="DQ8" s="51" t="s">
        <v>18</v>
      </c>
      <c r="DR8" s="52" t="s">
        <v>19</v>
      </c>
      <c r="DS8" s="587">
        <f>COUNTA('9 Med Cruise'!$R215:$R255)/37</f>
        <v>0</v>
      </c>
      <c r="DT8" s="576">
        <f>COUNTIF('9 Med Cruise'!$V215:$V255,"In Progress")/37</f>
        <v>0</v>
      </c>
      <c r="DU8" s="577">
        <f>COUNTIF('9 Med Cruise'!$V215:$V255,"completed")/37</f>
        <v>0</v>
      </c>
      <c r="DV8" s="577">
        <f>COUNTIF('9 Med Cruise'!$V215:$V255,"Not started")/37</f>
        <v>0</v>
      </c>
      <c r="DW8" s="577">
        <f>COUNTIF('9 Med Cruise'!$X215:$X255,"technical")/37</f>
        <v>0</v>
      </c>
      <c r="DX8" s="577">
        <f>COUNTIF('9 Med Cruise'!$X215:$X255,"training")/37</f>
        <v>0</v>
      </c>
      <c r="DY8" s="577">
        <f>COUNTIF('9 Med Cruise'!$X215:$X255,"legal")/37</f>
        <v>0</v>
      </c>
      <c r="DZ8" s="577">
        <f>COUNTIF('9 Med Cruise'!$X215:$X255,"investment")/37</f>
        <v>0</v>
      </c>
      <c r="EA8" s="578">
        <f>SUM('9 Med Cruise'!$Z215:$Z255)</f>
        <v>0</v>
      </c>
      <c r="EC8" s="51" t="s">
        <v>18</v>
      </c>
      <c r="ED8" s="52" t="s">
        <v>19</v>
      </c>
      <c r="EE8" s="587">
        <f>COUNTA('12 West Med'!$R215:$R255)/37</f>
        <v>0.16216216216216217</v>
      </c>
      <c r="EF8" s="576">
        <f>COUNTIF('12 West Med'!$V215:$V255,"In Progress")/37</f>
        <v>0</v>
      </c>
      <c r="EG8" s="577">
        <f>COUNTIF('12 West Med'!$V215:$V255,"completed")/37</f>
        <v>0</v>
      </c>
      <c r="EH8" s="577">
        <f>COUNTIF('12 West Med'!$V215:$V255,"Not started")/37</f>
        <v>0</v>
      </c>
      <c r="EI8" s="577">
        <f>COUNTIF('12 West Med'!$X215:$X255,"technical")/37</f>
        <v>0</v>
      </c>
      <c r="EJ8" s="577">
        <f>COUNTIF('12 West Med'!$X215:$X255,"training")/37</f>
        <v>0</v>
      </c>
      <c r="EK8" s="577">
        <f>COUNTIF('12 West Med'!$X215:$X255,"legal")/37</f>
        <v>0</v>
      </c>
      <c r="EL8" s="577">
        <f>COUNTIF('12 West Med'!$X215:$X255,"investment")/37</f>
        <v>0</v>
      </c>
      <c r="EM8" s="578">
        <f>SUM('12 West Med'!$Z215:$Z255)</f>
        <v>0</v>
      </c>
      <c r="EO8" s="51" t="s">
        <v>18</v>
      </c>
      <c r="EP8" s="52" t="s">
        <v>19</v>
      </c>
      <c r="EQ8" s="587">
        <f>COUNTA('13 OC'!$R215:$R255)/37</f>
        <v>0</v>
      </c>
      <c r="ER8" s="576">
        <f>COUNTIF('13 OC'!$V215:$V255,"In Progress")/37</f>
        <v>0</v>
      </c>
      <c r="ES8" s="577">
        <f>COUNTIF('13 OC'!$V215:$V255,"completed")/37</f>
        <v>0</v>
      </c>
      <c r="ET8" s="577">
        <f>COUNTIF('13 OC'!$V215:$V255,"Not started")/37</f>
        <v>0</v>
      </c>
      <c r="EU8" s="577">
        <f>COUNTIF('13 OC'!$X215:$X255,"technical")/37</f>
        <v>0</v>
      </c>
      <c r="EV8" s="577">
        <f>COUNTIF('13 OC'!$X215:$X255,"training")/37</f>
        <v>0</v>
      </c>
      <c r="EW8" s="577">
        <f>COUNTIF('13 OC'!$X215:$X255,"legal")/37</f>
        <v>0</v>
      </c>
      <c r="EX8" s="577">
        <f>COUNTIF('13 OC'!$X215:$X255,"investment")/37</f>
        <v>0</v>
      </c>
      <c r="EY8" s="578">
        <f>SUM('13 OC'!$Z215:$Z255)</f>
        <v>0</v>
      </c>
      <c r="FA8" s="51" t="s">
        <v>18</v>
      </c>
      <c r="FB8" s="52" t="s">
        <v>19</v>
      </c>
      <c r="FC8" s="587">
        <f>COUNTA('14 Sea Alarm'!$R215:$R255)/37</f>
        <v>0</v>
      </c>
      <c r="FD8" s="576">
        <f>COUNTIF('14 Sea Alarm'!$V215:$V255,"In Progress")/37</f>
        <v>0</v>
      </c>
      <c r="FE8" s="577">
        <f>COUNTIF('14 Sea Alarm'!$V215:$V255,"completed")/37</f>
        <v>0</v>
      </c>
      <c r="FF8" s="577">
        <f>COUNTIF('14 Sea Alarm'!$V215:$V255,"Not started")/37</f>
        <v>0</v>
      </c>
      <c r="FG8" s="577">
        <f>COUNTIF('14 Sea Alarm'!$X215:$X255,"technical")/37</f>
        <v>0</v>
      </c>
      <c r="FH8" s="577">
        <f>COUNTIF('14 Sea Alarm'!$X215:$X255,"training")/37</f>
        <v>0</v>
      </c>
      <c r="FI8" s="577">
        <f>COUNTIF('14 Sea Alarm'!$X215:$X255,"legal")/37</f>
        <v>0</v>
      </c>
      <c r="FJ8" s="577">
        <f>COUNTIF('14 Sea Alarm'!$X215:$X255,"investment")/37</f>
        <v>0</v>
      </c>
      <c r="FK8" s="578">
        <f>SUM('14 Sea Alarm'!$Z215:$Z255)</f>
        <v>0</v>
      </c>
      <c r="FM8" s="51" t="s">
        <v>18</v>
      </c>
      <c r="FN8" s="52" t="s">
        <v>19</v>
      </c>
      <c r="FO8" s="587">
        <f>COUNTA('15 ITOPF'!$R215:$R255)/37</f>
        <v>0</v>
      </c>
      <c r="FP8" s="576">
        <f>COUNTIF('15 ITOPF'!$V215:$V255,"In Progress")/37</f>
        <v>0</v>
      </c>
      <c r="FQ8" s="577">
        <f>COUNTIF('15 ITOPF'!$V215:$V255,"completed")/37</f>
        <v>0</v>
      </c>
      <c r="FR8" s="577">
        <f>COUNTIF('15 ITOPF'!$V215:$V255,"Not started")/37</f>
        <v>0</v>
      </c>
      <c r="FS8" s="577">
        <f>COUNTIF('15 ITOPF'!$X215:$X255,"technical")/37</f>
        <v>0</v>
      </c>
      <c r="FT8" s="577">
        <f>COUNTIF('15 ITOPF'!$X215:$X255,"training")/37</f>
        <v>0</v>
      </c>
      <c r="FU8" s="577">
        <f>COUNTIF('15 ITOPF'!$X215:$X255,"legal")/37</f>
        <v>0</v>
      </c>
      <c r="FV8" s="577">
        <f>COUNTIF('15 ITOPF'!$X215:$X255,"investment")/37</f>
        <v>0</v>
      </c>
      <c r="FW8" s="578">
        <f>SUM('15 ITOPF'!$Z215:$Z255)</f>
        <v>0</v>
      </c>
    </row>
    <row r="9" spans="1:179" s="59" customFormat="1" ht="69" customHeight="1">
      <c r="A9" s="51" t="s">
        <v>20</v>
      </c>
      <c r="B9" s="52" t="s">
        <v>21</v>
      </c>
      <c r="C9" s="587">
        <f>COUNTA('10 REMPEC'!$R257:$R318)/53</f>
        <v>0.41509433962264153</v>
      </c>
      <c r="D9" s="576">
        <f>COUNTIF('10 REMPEC'!$V257:$V318,"In Progress")/53</f>
        <v>0.39622641509433965</v>
      </c>
      <c r="E9" s="577">
        <f>COUNTIF('10 REMPEC'!$V257:$V318,"completed")/53</f>
        <v>0</v>
      </c>
      <c r="F9" s="577">
        <f>COUNTIF('10 REMPEC'!$V257:$V318,"Not started")/53</f>
        <v>0</v>
      </c>
      <c r="G9" s="577">
        <f>COUNTIF('10 REMPEC'!$X257:$X318,"technical")/53</f>
        <v>0.39622641509433965</v>
      </c>
      <c r="H9" s="577">
        <f>COUNTIF('10 REMPEC'!$X257:$X318,"training")/53</f>
        <v>0</v>
      </c>
      <c r="I9" s="577">
        <f>COUNTIF('10 REMPEC'!$X257:$X318,"legal")/53</f>
        <v>0</v>
      </c>
      <c r="J9" s="577">
        <f>COUNTIF('10 REMPEC'!$X257:$X318,"investment")/53</f>
        <v>0</v>
      </c>
      <c r="K9" s="578">
        <f>SUM('10 REMPEC'!$Z257:$Z318)</f>
        <v>101007</v>
      </c>
      <c r="M9" s="51" t="s">
        <v>20</v>
      </c>
      <c r="N9" s="52" t="s">
        <v>21</v>
      </c>
      <c r="O9" s="587">
        <f>COUNTA('11 EMSA'!$R257:$R318)/53</f>
        <v>5.6603773584905662E-2</v>
      </c>
      <c r="P9" s="576">
        <f>COUNTIF('11 EMSA'!$V257:$V318,"In Progress")/53</f>
        <v>3.7735849056603772E-2</v>
      </c>
      <c r="Q9" s="577">
        <f>COUNTIF('11 EMSA'!$V257:$V318,"completed")/53</f>
        <v>0</v>
      </c>
      <c r="R9" s="577">
        <f>COUNTIF('11 EMSA'!$V257:$V318,"Not started")/53</f>
        <v>0</v>
      </c>
      <c r="S9" s="577">
        <f>COUNTIF('11 EMSA'!$X257:$X318,"technical")/53</f>
        <v>0</v>
      </c>
      <c r="T9" s="577">
        <f>COUNTIF('11 EMSA'!$X257:$X318,"training")/53</f>
        <v>0</v>
      </c>
      <c r="U9" s="577">
        <f>COUNTIF('11 EMSA'!$X257:$X318,"legal")/53</f>
        <v>0</v>
      </c>
      <c r="V9" s="577">
        <f>COUNTIF('11 EMSA'!$X257:$X318,"investment")/53</f>
        <v>0</v>
      </c>
      <c r="W9" s="578">
        <f>SUM('11 EMSA'!$Z257:$Z318)</f>
        <v>0</v>
      </c>
      <c r="X9" s="591"/>
      <c r="Y9" s="51" t="s">
        <v>20</v>
      </c>
      <c r="Z9" s="52" t="s">
        <v>21</v>
      </c>
      <c r="AA9" s="587">
        <f>COUNTA('5 CEDRE'!$R257:$R318)/53</f>
        <v>7.5471698113207544E-2</v>
      </c>
      <c r="AB9" s="576">
        <f>COUNTIF('5 CEDRE'!$V257:$V318,"In Progress")/53</f>
        <v>5.6603773584905662E-2</v>
      </c>
      <c r="AC9" s="577">
        <f>COUNTIF('5 CEDRE'!$V257:$V318,"completed")/53</f>
        <v>0</v>
      </c>
      <c r="AD9" s="577">
        <f>COUNTIF('5 CEDRE'!$V257:$V318,"Not started")/53</f>
        <v>1.8867924528301886E-2</v>
      </c>
      <c r="AE9" s="577">
        <f>COUNTIF('5 CEDRE'!$X257:$X318,"technical")/53</f>
        <v>1.8867924528301886E-2</v>
      </c>
      <c r="AF9" s="577">
        <f>COUNTIF('5 CEDRE'!$X257:$X318,"training")/53</f>
        <v>0</v>
      </c>
      <c r="AG9" s="577">
        <f>COUNTIF('5 CEDRE'!$X257:$X318,"legal")/53</f>
        <v>0</v>
      </c>
      <c r="AH9" s="577">
        <f>COUNTIF('5 CEDRE'!$X257:$X318,"investment")/53</f>
        <v>0</v>
      </c>
      <c r="AI9" s="578">
        <f>SUM('5 CEDRE'!$Z257:$Z318)</f>
        <v>0</v>
      </c>
      <c r="AJ9" s="591"/>
      <c r="AK9" s="51" t="s">
        <v>20</v>
      </c>
      <c r="AL9" s="52" t="s">
        <v>21</v>
      </c>
      <c r="AM9" s="587">
        <f>COUNTA('1 UfM'!$R257:$R318)/53</f>
        <v>0.18867924528301888</v>
      </c>
      <c r="AN9" s="576">
        <f>COUNTIF('1 UfM'!$V257:$V318,"In Progress")/53</f>
        <v>5.6603773584905662E-2</v>
      </c>
      <c r="AO9" s="577">
        <f>COUNTIF('1 UfM'!$V257:$V318,"completed")/53</f>
        <v>0</v>
      </c>
      <c r="AP9" s="577">
        <f>COUNTIF('1 UfM'!$V257:$V318,"Not started")/53</f>
        <v>0</v>
      </c>
      <c r="AQ9" s="577">
        <f>COUNTIF('1 UfM'!$X257:$X318,"technical")/53</f>
        <v>3.7735849056603772E-2</v>
      </c>
      <c r="AR9" s="577">
        <f>COUNTIF('1 UfM'!$X257:$X318,"training")/53</f>
        <v>0</v>
      </c>
      <c r="AS9" s="577">
        <f>COUNTIF('1 UfM'!$X257:$X318,"legal")/53</f>
        <v>0</v>
      </c>
      <c r="AT9" s="577">
        <f>COUNTIF('1 UfM'!$X257:$X318,"investment")/53</f>
        <v>0</v>
      </c>
      <c r="AU9" s="578">
        <f>SUM('1 UfM'!$Z257:$Z318)</f>
        <v>0</v>
      </c>
      <c r="AV9" s="590"/>
      <c r="AW9" s="51" t="s">
        <v>20</v>
      </c>
      <c r="AX9" s="52" t="s">
        <v>21</v>
      </c>
      <c r="AY9" s="587">
        <f>COUNTA('2 OSRL'!$R257:$R318)/53</f>
        <v>0</v>
      </c>
      <c r="AZ9" s="576">
        <f>COUNTIF('2 OSRL'!$V257:$V318,"In Progress")/53</f>
        <v>0</v>
      </c>
      <c r="BA9" s="577">
        <f>COUNTIF('2 OSRL'!$V257:$V318,"completed")/53</f>
        <v>0</v>
      </c>
      <c r="BB9" s="577">
        <f>COUNTIF('2 OSRL'!$V257:$V318,"Not started")/53</f>
        <v>0</v>
      </c>
      <c r="BC9" s="577">
        <f>COUNTIF('2 OSRL'!$X257:$X318,"technical")/53</f>
        <v>0</v>
      </c>
      <c r="BD9" s="577">
        <f>COUNTIF('2 OSRL'!$X257:$X318,"training")/53</f>
        <v>0</v>
      </c>
      <c r="BE9" s="577">
        <f>COUNTIF('2 OSRL'!$X257:$X318,"legal")/53</f>
        <v>0</v>
      </c>
      <c r="BF9" s="577">
        <f>COUNTIF('2 OSRL'!$X257:$X318,"investment")/53</f>
        <v>0</v>
      </c>
      <c r="BG9" s="578">
        <f>SUM('2 OSRL'!$Z257:$Z318)</f>
        <v>0</v>
      </c>
      <c r="BH9" s="590"/>
      <c r="BI9" s="51" t="s">
        <v>20</v>
      </c>
      <c r="BJ9" s="52" t="s">
        <v>21</v>
      </c>
      <c r="BK9" s="587">
        <f>COUNTA('3 Federchimica'!$R257:$R318)/53</f>
        <v>1.8867924528301886E-2</v>
      </c>
      <c r="BL9" s="576">
        <f>COUNTIF('3 Federchimica'!$V257:$V318,"In Progress")/53</f>
        <v>1.8867924528301886E-2</v>
      </c>
      <c r="BM9" s="577">
        <f>COUNTIF('3 Federchimica'!$V257:$V318,"completed")/53</f>
        <v>0</v>
      </c>
      <c r="BN9" s="577">
        <f>COUNTIF('3 Federchimica'!$V257:$V318,"Not started")/53</f>
        <v>0</v>
      </c>
      <c r="BO9" s="577">
        <f>COUNTIF('3 Federchimica'!$X257:$X318,"technical")/53</f>
        <v>0</v>
      </c>
      <c r="BP9" s="577">
        <f>COUNTIF('3 Federchimica'!$X257:$X318,"training")/53</f>
        <v>0</v>
      </c>
      <c r="BQ9" s="577">
        <f>COUNTIF('3 Federchimica'!$X257:$X318,"legal")/53</f>
        <v>0</v>
      </c>
      <c r="BR9" s="577">
        <f>COUNTIF('3 Federchimica'!$X257:$X318,"investment")/53</f>
        <v>0</v>
      </c>
      <c r="BS9" s="578">
        <f>SUM('3 Federchimica'!$Z257:$Z318)</f>
        <v>0</v>
      </c>
      <c r="BU9" s="51" t="s">
        <v>20</v>
      </c>
      <c r="BV9" s="52" t="s">
        <v>21</v>
      </c>
      <c r="BW9" s="587">
        <f>COUNTA('4 IOI'!$R257:$R318)/53</f>
        <v>1.8867924528301886E-2</v>
      </c>
      <c r="BX9" s="576">
        <f>COUNTIF('4 IOI'!$V257:$V318,"In Progress")/53</f>
        <v>1.8867924528301886E-2</v>
      </c>
      <c r="BY9" s="577">
        <f>COUNTIF('4 IOI'!$V257:$V318,"completed")/53</f>
        <v>0</v>
      </c>
      <c r="BZ9" s="577">
        <f>COUNTIF('4 IOI'!$V257:$V318,"Not started")/53</f>
        <v>0</v>
      </c>
      <c r="CA9" s="577">
        <f>COUNTIF('4 IOI'!$X257:$X318,"technical")/53</f>
        <v>0</v>
      </c>
      <c r="CB9" s="577">
        <f>COUNTIF('4 IOI'!$X257:$X318,"training")/53</f>
        <v>1.8867924528301886E-2</v>
      </c>
      <c r="CC9" s="577">
        <f>COUNTIF('4 IOI'!$X257:$X318,"legal")/53</f>
        <v>0</v>
      </c>
      <c r="CD9" s="577">
        <f>COUNTIF('4 IOI'!$X257:$X318,"investment")/53</f>
        <v>0</v>
      </c>
      <c r="CE9" s="578">
        <f>SUM('4 IOI'!$Z257:$Z318)</f>
        <v>0</v>
      </c>
      <c r="CG9" s="51" t="s">
        <v>20</v>
      </c>
      <c r="CH9" s="52" t="s">
        <v>21</v>
      </c>
      <c r="CI9" s="587">
        <f>COUNTA('6 PAM'!$R257:$R318)/53</f>
        <v>1.8867924528301886E-2</v>
      </c>
      <c r="CJ9" s="576">
        <f>COUNTIF('6 PAM'!$V257:$V318,"In Progress")/53</f>
        <v>1.8867924528301886E-2</v>
      </c>
      <c r="CK9" s="577">
        <f>COUNTIF('6 PAM'!$V257:$V318,"completed")/53</f>
        <v>0</v>
      </c>
      <c r="CL9" s="577">
        <f>COUNTIF('6 PAM'!$V257:$V318,"Not started")/53</f>
        <v>0</v>
      </c>
      <c r="CM9" s="577">
        <f>COUNTIF('6 PAM'!$X257:$X318,"technical")/53</f>
        <v>0</v>
      </c>
      <c r="CN9" s="577">
        <f>COUNTIF('6 PAM'!$X257:$X318,"training")/53</f>
        <v>0</v>
      </c>
      <c r="CO9" s="577">
        <f>COUNTIF('6 PAM'!$X257:$X318,"legal")/53</f>
        <v>1.8867924528301886E-2</v>
      </c>
      <c r="CP9" s="577">
        <f>COUNTIF('6 PAM'!$X257:$X318,"investment")/53</f>
        <v>0</v>
      </c>
      <c r="CQ9" s="578">
        <f>SUM('6 PAM'!$Z257:$Z318)</f>
        <v>0</v>
      </c>
      <c r="CS9" s="51" t="s">
        <v>20</v>
      </c>
      <c r="CT9" s="52" t="s">
        <v>21</v>
      </c>
      <c r="CU9" s="587">
        <f>COUNTA('7 CLIA'!$R257:$R318)/53</f>
        <v>1.8867924528301886E-2</v>
      </c>
      <c r="CV9" s="576">
        <f>COUNTIF('7 CLIA'!$V257:$V318,"In Progress")/53</f>
        <v>1.8867924528301886E-2</v>
      </c>
      <c r="CW9" s="577">
        <f>COUNTIF('7 CLIA'!$V257:$V318,"completed")/53</f>
        <v>0</v>
      </c>
      <c r="CX9" s="577">
        <f>COUNTIF('7 CLIA'!$V257:$V318,"Not started")/53</f>
        <v>0</v>
      </c>
      <c r="CY9" s="577">
        <f>COUNTIF('7 CLIA'!$X257:$X318,"technical")/53</f>
        <v>0</v>
      </c>
      <c r="CZ9" s="577">
        <f>COUNTIF('7 CLIA'!$X257:$X318,"training")/53</f>
        <v>0</v>
      </c>
      <c r="DA9" s="577">
        <f>COUNTIF('7 CLIA'!$X257:$X318,"legal")/53</f>
        <v>0</v>
      </c>
      <c r="DB9" s="577">
        <f>COUNTIF('7 CLIA'!$X257:$X318,"investment")/53</f>
        <v>0</v>
      </c>
      <c r="DC9" s="578">
        <f>SUM('7 CLIA'!$Z257:$Z318)</f>
        <v>0</v>
      </c>
      <c r="DE9" s="51" t="s">
        <v>20</v>
      </c>
      <c r="DF9" s="52" t="s">
        <v>21</v>
      </c>
      <c r="DG9" s="587">
        <f>COUNTA('8 IPIECA'!$R257:$R318)/53</f>
        <v>1.8867924528301886E-2</v>
      </c>
      <c r="DH9" s="576">
        <f>COUNTIF('8 IPIECA'!$V257:$V318,"In Progress")/53</f>
        <v>1.8867924528301886E-2</v>
      </c>
      <c r="DI9" s="577">
        <f>COUNTIF('8 IPIECA'!$V257:$V318,"completed")/53</f>
        <v>0</v>
      </c>
      <c r="DJ9" s="577">
        <f>COUNTIF('8 IPIECA'!$V257:$V318,"Not started")/53</f>
        <v>0</v>
      </c>
      <c r="DK9" s="577">
        <f>COUNTIF('8 IPIECA'!$X257:$X318,"technical")/53</f>
        <v>0</v>
      </c>
      <c r="DL9" s="577">
        <f>COUNTIF('8 IPIECA'!$X257:$X318,"training")/53</f>
        <v>0</v>
      </c>
      <c r="DM9" s="577">
        <f>COUNTIF('8 IPIECA'!$X257:$X318,"legal")/53</f>
        <v>0</v>
      </c>
      <c r="DN9" s="577">
        <f>COUNTIF('8 IPIECA'!$X257:$X318,"investment")/53</f>
        <v>0</v>
      </c>
      <c r="DO9" s="578">
        <f>SUM('8 IPIECA'!$Z257:$Z318)</f>
        <v>0</v>
      </c>
      <c r="DQ9" s="51" t="s">
        <v>20</v>
      </c>
      <c r="DR9" s="52" t="s">
        <v>21</v>
      </c>
      <c r="DS9" s="587">
        <f>COUNTA('9 Med Cruise'!$R257:$R318)/53</f>
        <v>0</v>
      </c>
      <c r="DT9" s="576">
        <f>COUNTIF('9 Med Cruise'!$V257:$V318,"In Progress")/53</f>
        <v>0</v>
      </c>
      <c r="DU9" s="577">
        <f>COUNTIF('9 Med Cruise'!$V257:$V318,"completed")/53</f>
        <v>0</v>
      </c>
      <c r="DV9" s="577">
        <f>COUNTIF('9 Med Cruise'!$V257:$V318,"Not started")/53</f>
        <v>0</v>
      </c>
      <c r="DW9" s="577">
        <f>COUNTIF('9 Med Cruise'!$X257:$X318,"technical")/53</f>
        <v>0</v>
      </c>
      <c r="DX9" s="577">
        <f>COUNTIF('9 Med Cruise'!$X257:$X318,"training")/53</f>
        <v>0</v>
      </c>
      <c r="DY9" s="577">
        <f>COUNTIF('9 Med Cruise'!$X257:$X318,"legal")/53</f>
        <v>0</v>
      </c>
      <c r="DZ9" s="577">
        <f>COUNTIF('9 Med Cruise'!$X257:$X318,"investment")/53</f>
        <v>0</v>
      </c>
      <c r="EA9" s="578">
        <f>SUM('9 Med Cruise'!$Z257:$Z318)</f>
        <v>0</v>
      </c>
      <c r="EC9" s="51" t="s">
        <v>20</v>
      </c>
      <c r="ED9" s="52" t="s">
        <v>21</v>
      </c>
      <c r="EE9" s="587">
        <f>COUNTA('12 West Med'!$R257:$R318)/53</f>
        <v>0.16981132075471697</v>
      </c>
      <c r="EF9" s="576">
        <f>COUNTIF('12 West Med'!$V257:$V318,"In Progress")/53</f>
        <v>0</v>
      </c>
      <c r="EG9" s="577">
        <f>COUNTIF('12 West Med'!$V257:$V318,"completed")/53</f>
        <v>0</v>
      </c>
      <c r="EH9" s="577">
        <f>COUNTIF('12 West Med'!$V257:$V318,"Not started")/53</f>
        <v>0</v>
      </c>
      <c r="EI9" s="577">
        <f>COUNTIF('12 West Med'!$X257:$X318,"technical")/53</f>
        <v>0</v>
      </c>
      <c r="EJ9" s="577">
        <f>COUNTIF('12 West Med'!$X257:$X318,"training")/53</f>
        <v>0</v>
      </c>
      <c r="EK9" s="577">
        <f>COUNTIF('12 West Med'!$X257:$X318,"legal")/53</f>
        <v>0</v>
      </c>
      <c r="EL9" s="577">
        <f>COUNTIF('12 West Med'!$X257:$X318,"investment")/53</f>
        <v>0</v>
      </c>
      <c r="EM9" s="578">
        <f>SUM('12 West Med'!$Z257:$Z318)</f>
        <v>0</v>
      </c>
      <c r="EO9" s="51" t="s">
        <v>20</v>
      </c>
      <c r="EP9" s="52" t="s">
        <v>21</v>
      </c>
      <c r="EQ9" s="587">
        <f>COUNTA('13 OC'!$R257:$R318)/53</f>
        <v>0.16981132075471697</v>
      </c>
      <c r="ER9" s="576">
        <f>COUNTIF('13 OC'!$V257:$V318,"In Progress")/53</f>
        <v>0.11320754716981132</v>
      </c>
      <c r="ES9" s="577">
        <f>COUNTIF('13 OC'!$V257:$V318,"completed")/53</f>
        <v>3.7735849056603772E-2</v>
      </c>
      <c r="ET9" s="577">
        <f>COUNTIF('13 OC'!$V257:$V318,"Not started")/53</f>
        <v>1.8867924528301886E-2</v>
      </c>
      <c r="EU9" s="577">
        <f>COUNTIF('13 OC'!$X257:$X318,"technical")/53</f>
        <v>0.15094339622641509</v>
      </c>
      <c r="EV9" s="577">
        <f>COUNTIF('13 OC'!$X257:$X318,"training")/53</f>
        <v>1.8867924528301886E-2</v>
      </c>
      <c r="EW9" s="577">
        <f>COUNTIF('13 OC'!$X257:$X318,"legal")/53</f>
        <v>0</v>
      </c>
      <c r="EX9" s="577">
        <f>COUNTIF('13 OC'!$X257:$X318,"investment")/53</f>
        <v>0</v>
      </c>
      <c r="EY9" s="578">
        <f>SUM('13 OC'!$Z257:$Z318)</f>
        <v>0</v>
      </c>
      <c r="FA9" s="51" t="s">
        <v>20</v>
      </c>
      <c r="FB9" s="52" t="s">
        <v>21</v>
      </c>
      <c r="FC9" s="587">
        <f>COUNTA('14 Sea Alarm'!$R257:$R318)/53</f>
        <v>0</v>
      </c>
      <c r="FD9" s="576">
        <f>COUNTIF('14 Sea Alarm'!$V257:$V318,"In Progress")/53</f>
        <v>0</v>
      </c>
      <c r="FE9" s="577">
        <f>COUNTIF('14 Sea Alarm'!$V257:$V318,"completed")/53</f>
        <v>0</v>
      </c>
      <c r="FF9" s="577">
        <f>COUNTIF('14 Sea Alarm'!$V257:$V318,"Not started")/53</f>
        <v>0</v>
      </c>
      <c r="FG9" s="577">
        <f>COUNTIF('14 Sea Alarm'!$X257:$X318,"technical")/53</f>
        <v>0</v>
      </c>
      <c r="FH9" s="577">
        <f>COUNTIF('14 Sea Alarm'!$X257:$X318,"training")/53</f>
        <v>0</v>
      </c>
      <c r="FI9" s="577">
        <f>COUNTIF('14 Sea Alarm'!$X257:$X318,"legal")/53</f>
        <v>0</v>
      </c>
      <c r="FJ9" s="577">
        <f>COUNTIF('14 Sea Alarm'!$X257:$X318,"investment")/53</f>
        <v>0</v>
      </c>
      <c r="FK9" s="578">
        <f>SUM('14 Sea Alarm'!$Z257:$Z318)</f>
        <v>0</v>
      </c>
      <c r="FM9" s="51" t="s">
        <v>20</v>
      </c>
      <c r="FN9" s="52" t="s">
        <v>21</v>
      </c>
      <c r="FO9" s="587">
        <f>COUNTA('15 ITOPF'!$R257:$R318)/53</f>
        <v>0</v>
      </c>
      <c r="FP9" s="576">
        <f>COUNTIF('15 ITOPF'!$V257:$V318,"In Progress")/53</f>
        <v>0</v>
      </c>
      <c r="FQ9" s="577">
        <f>COUNTIF('15 ITOPF'!$V257:$V318,"completed")/53</f>
        <v>0</v>
      </c>
      <c r="FR9" s="577">
        <f>COUNTIF('15 ITOPF'!$V257:$V318,"Not started")/53</f>
        <v>0</v>
      </c>
      <c r="FS9" s="577">
        <f>COUNTIF('15 ITOPF'!$X257:$X318,"technical")/53</f>
        <v>0</v>
      </c>
      <c r="FT9" s="577">
        <f>COUNTIF('15 ITOPF'!$X257:$X318,"training")/53</f>
        <v>0</v>
      </c>
      <c r="FU9" s="577">
        <f>COUNTIF('15 ITOPF'!$X257:$X318,"legal")/53</f>
        <v>0</v>
      </c>
      <c r="FV9" s="577">
        <f>COUNTIF('15 ITOPF'!$X257:$X318,"investment")/53</f>
        <v>0</v>
      </c>
      <c r="FW9" s="578">
        <f>SUM('15 ITOPF'!$Z257:$Z318)</f>
        <v>0</v>
      </c>
    </row>
    <row r="10" spans="1:179" s="59" customFormat="1" ht="69" customHeight="1">
      <c r="A10" s="51" t="s">
        <v>22</v>
      </c>
      <c r="B10" s="52" t="s">
        <v>23</v>
      </c>
      <c r="C10" s="587">
        <f>COUNTA('10 REMPEC'!$R320:$R381)/53</f>
        <v>0.75471698113207553</v>
      </c>
      <c r="D10" s="576">
        <f>COUNTIF('10 REMPEC'!$V320:$V381,"In Progress")/53</f>
        <v>0.15094339622641509</v>
      </c>
      <c r="E10" s="577">
        <f>COUNTIF('10 REMPEC'!$V320:$V381,"completed")/53</f>
        <v>0</v>
      </c>
      <c r="F10" s="577">
        <f>COUNTIF('10 REMPEC'!$V320:$V381,"Not started")/53</f>
        <v>0.56603773584905659</v>
      </c>
      <c r="G10" s="577">
        <f>COUNTIF('10 REMPEC'!$X320:$X381,"technical")/53</f>
        <v>0.16981132075471697</v>
      </c>
      <c r="H10" s="577">
        <f>COUNTIF('10 REMPEC'!$X320:$X381,"training")/53</f>
        <v>0.54716981132075471</v>
      </c>
      <c r="I10" s="577">
        <f>COUNTIF('10 REMPEC'!$X320:$X381,"legal")/53</f>
        <v>0</v>
      </c>
      <c r="J10" s="577">
        <f>COUNTIF('10 REMPEC'!$X320:$X381,"investment")/53</f>
        <v>0</v>
      </c>
      <c r="K10" s="578">
        <f>SUM('10 REMPEC'!$Z320:$Z381)</f>
        <v>208677.5</v>
      </c>
      <c r="M10" s="51" t="s">
        <v>22</v>
      </c>
      <c r="N10" s="52" t="s">
        <v>23</v>
      </c>
      <c r="O10" s="587">
        <f>COUNTA('11 EMSA'!$R320:$R381)/53</f>
        <v>5.6603773584905662E-2</v>
      </c>
      <c r="P10" s="576">
        <f>COUNTIF('11 EMSA'!$V320:$V381,"In Progress")/53</f>
        <v>1.8867924528301886E-2</v>
      </c>
      <c r="Q10" s="577">
        <f>COUNTIF('11 EMSA'!$V320:$V381,"completed")/53</f>
        <v>0</v>
      </c>
      <c r="R10" s="577">
        <f>COUNTIF('11 EMSA'!$V320:$V381,"Not started")/53</f>
        <v>1.8867924528301886E-2</v>
      </c>
      <c r="S10" s="577">
        <f>COUNTIF('11 EMSA'!$X320:$X381,"technical")/53</f>
        <v>1.8867924528301886E-2</v>
      </c>
      <c r="T10" s="577">
        <f>COUNTIF('11 EMSA'!$X320:$X381,"training")/53</f>
        <v>0</v>
      </c>
      <c r="U10" s="577">
        <f>COUNTIF('11 EMSA'!$X320:$X381,"legal")/53</f>
        <v>0</v>
      </c>
      <c r="V10" s="577">
        <f>COUNTIF('11 EMSA'!$X320:$X381,"investment")/53</f>
        <v>0</v>
      </c>
      <c r="W10" s="578">
        <f>SUM('11 EMSA'!$Z320:$Z381)</f>
        <v>0</v>
      </c>
      <c r="X10" s="591"/>
      <c r="Y10" s="51" t="s">
        <v>22</v>
      </c>
      <c r="Z10" s="52" t="s">
        <v>23</v>
      </c>
      <c r="AA10" s="587">
        <f>COUNTA('5 CEDRE'!$R320:$R381)/53</f>
        <v>0</v>
      </c>
      <c r="AB10" s="576">
        <f>COUNTIF('5 CEDRE'!$V320:$V381,"In Progress")/53</f>
        <v>0</v>
      </c>
      <c r="AC10" s="577">
        <f>COUNTIF('5 CEDRE'!$V320:$V381,"completed")/53</f>
        <v>0</v>
      </c>
      <c r="AD10" s="577">
        <f>COUNTIF('5 CEDRE'!$V320:$V381,"Not started")/53</f>
        <v>0</v>
      </c>
      <c r="AE10" s="577">
        <f>COUNTIF('5 CEDRE'!$X320:$X381,"technical")/53</f>
        <v>0</v>
      </c>
      <c r="AF10" s="577">
        <f>COUNTIF('5 CEDRE'!$X320:$X381,"training")/53</f>
        <v>0</v>
      </c>
      <c r="AG10" s="577">
        <f>COUNTIF('5 CEDRE'!$X320:$X381,"legal")/53</f>
        <v>0</v>
      </c>
      <c r="AH10" s="577">
        <f>COUNTIF('5 CEDRE'!$X320:$X381,"investment")/53</f>
        <v>0</v>
      </c>
      <c r="AI10" s="578">
        <f>SUM('5 CEDRE'!$Z320:$Z381)</f>
        <v>0</v>
      </c>
      <c r="AJ10" s="591"/>
      <c r="AK10" s="51" t="s">
        <v>22</v>
      </c>
      <c r="AL10" s="52" t="s">
        <v>23</v>
      </c>
      <c r="AM10" s="587">
        <f>COUNTA('1 UfM'!$R320:$R381)/53</f>
        <v>0</v>
      </c>
      <c r="AN10" s="576">
        <f>COUNTIF('1 UfM'!$V320:$V381,"In Progress")/53</f>
        <v>0</v>
      </c>
      <c r="AO10" s="577">
        <f>COUNTIF('1 UfM'!$V320:$V381,"completed")/53</f>
        <v>0</v>
      </c>
      <c r="AP10" s="577">
        <f>COUNTIF('1 UfM'!$V320:$V381,"Not started")/53</f>
        <v>0</v>
      </c>
      <c r="AQ10" s="577">
        <f>COUNTIF('1 UfM'!$X320:$X381,"technical")/53</f>
        <v>0</v>
      </c>
      <c r="AR10" s="577">
        <f>COUNTIF('1 UfM'!$X320:$X381,"training")/53</f>
        <v>0</v>
      </c>
      <c r="AS10" s="577">
        <f>COUNTIF('1 UfM'!$X320:$X381,"legal")/53</f>
        <v>0</v>
      </c>
      <c r="AT10" s="577">
        <f>COUNTIF('1 UfM'!$X320:$X381,"investment")/53</f>
        <v>0</v>
      </c>
      <c r="AU10" s="578">
        <f>SUM('1 UfM'!$Z320:$Z381)</f>
        <v>0</v>
      </c>
      <c r="AV10" s="590"/>
      <c r="AW10" s="51" t="s">
        <v>22</v>
      </c>
      <c r="AX10" s="52" t="s">
        <v>23</v>
      </c>
      <c r="AY10" s="587">
        <f>COUNTA('2 OSRL'!$R320:$R381)/53</f>
        <v>0</v>
      </c>
      <c r="AZ10" s="576">
        <f>COUNTIF('2 OSRL'!$V320:$V381,"In Progress")/53</f>
        <v>0</v>
      </c>
      <c r="BA10" s="577">
        <f>COUNTIF('2 OSRL'!$V320:$V381,"completed")/53</f>
        <v>0</v>
      </c>
      <c r="BB10" s="577">
        <f>COUNTIF('2 OSRL'!$V320:$V381,"Not started")/53</f>
        <v>0</v>
      </c>
      <c r="BC10" s="577">
        <f>COUNTIF('2 OSRL'!$X320:$X381,"technical")/53</f>
        <v>0</v>
      </c>
      <c r="BD10" s="577">
        <f>COUNTIF('2 OSRL'!$X320:$X381,"training")/53</f>
        <v>0</v>
      </c>
      <c r="BE10" s="577">
        <f>COUNTIF('2 OSRL'!$X320:$X381,"legal")/53</f>
        <v>0</v>
      </c>
      <c r="BF10" s="577">
        <f>COUNTIF('2 OSRL'!$X320:$X381,"investment")/53</f>
        <v>0</v>
      </c>
      <c r="BG10" s="578">
        <f>SUM('2 OSRL'!$Z320:$Z381)</f>
        <v>0</v>
      </c>
      <c r="BH10" s="590"/>
      <c r="BI10" s="51" t="s">
        <v>22</v>
      </c>
      <c r="BJ10" s="52" t="s">
        <v>23</v>
      </c>
      <c r="BK10" s="587">
        <f>COUNTA('3 Federchimica'!$R320:$R381)/53</f>
        <v>0</v>
      </c>
      <c r="BL10" s="576">
        <f>COUNTIF('3 Federchimica'!$V320:$V381,"In Progress")/53</f>
        <v>0</v>
      </c>
      <c r="BM10" s="577">
        <f>COUNTIF('3 Federchimica'!$V320:$V381,"completed")/53</f>
        <v>0</v>
      </c>
      <c r="BN10" s="577">
        <f>COUNTIF('3 Federchimica'!$V320:$V381,"Not started")/53</f>
        <v>0</v>
      </c>
      <c r="BO10" s="577">
        <f>COUNTIF('3 Federchimica'!$X320:$X381,"technical")/53</f>
        <v>0</v>
      </c>
      <c r="BP10" s="577">
        <f>COUNTIF('3 Federchimica'!$X320:$X381,"training")/53</f>
        <v>0</v>
      </c>
      <c r="BQ10" s="577">
        <f>COUNTIF('3 Federchimica'!$X320:$X381,"legal")/53</f>
        <v>0</v>
      </c>
      <c r="BR10" s="577">
        <f>COUNTIF('3 Federchimica'!$X320:$X381,"investment")/53</f>
        <v>0</v>
      </c>
      <c r="BS10" s="578">
        <f>SUM('3 Federchimica'!$Z320:$Z381)</f>
        <v>0</v>
      </c>
      <c r="BU10" s="51" t="s">
        <v>22</v>
      </c>
      <c r="BV10" s="52" t="s">
        <v>23</v>
      </c>
      <c r="BW10" s="587">
        <f>COUNTA('4 IOI'!$R320:$R381)/53</f>
        <v>0</v>
      </c>
      <c r="BX10" s="576">
        <f>COUNTIF('4 IOI'!$V320:$V381,"In Progress")/53</f>
        <v>0</v>
      </c>
      <c r="BY10" s="577">
        <f>COUNTIF('4 IOI'!$V320:$V381,"completed")/53</f>
        <v>0</v>
      </c>
      <c r="BZ10" s="577">
        <f>COUNTIF('4 IOI'!$V320:$V381,"Not started")/53</f>
        <v>0</v>
      </c>
      <c r="CA10" s="577">
        <f>COUNTIF('4 IOI'!$X320:$X381,"technical")/53</f>
        <v>0</v>
      </c>
      <c r="CB10" s="577">
        <f>COUNTIF('4 IOI'!$X320:$X381,"training")/53</f>
        <v>0</v>
      </c>
      <c r="CC10" s="577">
        <f>COUNTIF('4 IOI'!$X320:$X381,"legal")/53</f>
        <v>0</v>
      </c>
      <c r="CD10" s="577">
        <f>COUNTIF('4 IOI'!$X320:$X381,"investment")/53</f>
        <v>0</v>
      </c>
      <c r="CE10" s="578">
        <f>SUM('4 IOI'!$Z320:$Z381)</f>
        <v>0</v>
      </c>
      <c r="CG10" s="51" t="s">
        <v>22</v>
      </c>
      <c r="CH10" s="52" t="s">
        <v>23</v>
      </c>
      <c r="CI10" s="587">
        <f>COUNTA('6 PAM'!$R320:$R381)/53</f>
        <v>0</v>
      </c>
      <c r="CJ10" s="576">
        <f>COUNTIF('6 PAM'!$V320:$V381,"In Progress")/53</f>
        <v>0</v>
      </c>
      <c r="CK10" s="577">
        <f>COUNTIF('6 PAM'!$V320:$V381,"completed")/53</f>
        <v>0</v>
      </c>
      <c r="CL10" s="577">
        <f>COUNTIF('6 PAM'!$V320:$V381,"Not started")/53</f>
        <v>0</v>
      </c>
      <c r="CM10" s="577">
        <f>COUNTIF('6 PAM'!$X320:$X381,"technical")/53</f>
        <v>0</v>
      </c>
      <c r="CN10" s="577">
        <f>COUNTIF('6 PAM'!$X320:$X381,"training")/53</f>
        <v>0</v>
      </c>
      <c r="CO10" s="577">
        <f>COUNTIF('6 PAM'!$X320:$X381,"legal")/53</f>
        <v>0</v>
      </c>
      <c r="CP10" s="577">
        <f>COUNTIF('6 PAM'!$X320:$X381,"investment")/53</f>
        <v>0</v>
      </c>
      <c r="CQ10" s="578">
        <f>SUM('6 PAM'!$Z320:$Z381)</f>
        <v>0</v>
      </c>
      <c r="CS10" s="51" t="s">
        <v>22</v>
      </c>
      <c r="CT10" s="52" t="s">
        <v>23</v>
      </c>
      <c r="CU10" s="587">
        <f>COUNTA('7 CLIA'!$R320:$R381)/53</f>
        <v>1.8867924528301886E-2</v>
      </c>
      <c r="CV10" s="576">
        <f>COUNTIF('7 CLIA'!$V320:$V381,"In Progress")/53</f>
        <v>1.8867924528301886E-2</v>
      </c>
      <c r="CW10" s="577">
        <f>COUNTIF('7 CLIA'!$V320:$V381,"completed")/53</f>
        <v>0</v>
      </c>
      <c r="CX10" s="577">
        <f>COUNTIF('7 CLIA'!$V320:$V381,"Not started")/53</f>
        <v>0</v>
      </c>
      <c r="CY10" s="577">
        <f>COUNTIF('7 CLIA'!$X320:$X381,"technical")/53</f>
        <v>0</v>
      </c>
      <c r="CZ10" s="577">
        <f>COUNTIF('7 CLIA'!$X320:$X381,"training")/53</f>
        <v>0</v>
      </c>
      <c r="DA10" s="577">
        <f>COUNTIF('7 CLIA'!$X320:$X381,"legal")/53</f>
        <v>0</v>
      </c>
      <c r="DB10" s="577">
        <f>COUNTIF('7 CLIA'!$X320:$X381,"investment")/53</f>
        <v>0</v>
      </c>
      <c r="DC10" s="578">
        <f>SUM('7 CLIA'!$Z320:$Z381)</f>
        <v>0</v>
      </c>
      <c r="DE10" s="51" t="s">
        <v>22</v>
      </c>
      <c r="DF10" s="52" t="s">
        <v>23</v>
      </c>
      <c r="DG10" s="587">
        <f>COUNTA('8 IPIECA'!$R320:$R381)/53</f>
        <v>5.6603773584905662E-2</v>
      </c>
      <c r="DH10" s="576">
        <f>COUNTIF('8 IPIECA'!$V320:$V381,"In Progress")/53</f>
        <v>5.6603773584905662E-2</v>
      </c>
      <c r="DI10" s="577">
        <f>COUNTIF('8 IPIECA'!$V320:$V381,"completed")/53</f>
        <v>0</v>
      </c>
      <c r="DJ10" s="577">
        <f>COUNTIF('8 IPIECA'!$V320:$V381,"Not started")/53</f>
        <v>0</v>
      </c>
      <c r="DK10" s="577">
        <f>COUNTIF('8 IPIECA'!$X320:$X381,"technical")/53</f>
        <v>0</v>
      </c>
      <c r="DL10" s="577">
        <f>COUNTIF('8 IPIECA'!$X320:$X381,"training")/53</f>
        <v>0</v>
      </c>
      <c r="DM10" s="577">
        <f>COUNTIF('8 IPIECA'!$X320:$X381,"legal")/53</f>
        <v>0</v>
      </c>
      <c r="DN10" s="577">
        <f>COUNTIF('8 IPIECA'!$X320:$X381,"investment")/53</f>
        <v>0</v>
      </c>
      <c r="DO10" s="578">
        <f>SUM('8 IPIECA'!$Z320:$Z381)</f>
        <v>0</v>
      </c>
      <c r="DQ10" s="51" t="s">
        <v>22</v>
      </c>
      <c r="DR10" s="52" t="s">
        <v>23</v>
      </c>
      <c r="DS10" s="587">
        <f>COUNTA('9 Med Cruise'!$R320:$R381)/53</f>
        <v>0</v>
      </c>
      <c r="DT10" s="576">
        <f>COUNTIF('9 Med Cruise'!$V320:$V381,"In Progress")/53</f>
        <v>0</v>
      </c>
      <c r="DU10" s="577">
        <f>COUNTIF('9 Med Cruise'!$V320:$V381,"completed")/53</f>
        <v>0</v>
      </c>
      <c r="DV10" s="577">
        <f>COUNTIF('9 Med Cruise'!$V320:$V381,"Not started")/53</f>
        <v>0</v>
      </c>
      <c r="DW10" s="577">
        <f>COUNTIF('9 Med Cruise'!$X320:$X381,"technical")/53</f>
        <v>0</v>
      </c>
      <c r="DX10" s="577">
        <f>COUNTIF('9 Med Cruise'!$X320:$X381,"training")/53</f>
        <v>0</v>
      </c>
      <c r="DY10" s="577">
        <f>COUNTIF('9 Med Cruise'!$X320:$X381,"legal")/53</f>
        <v>0</v>
      </c>
      <c r="DZ10" s="577">
        <f>COUNTIF('9 Med Cruise'!$X320:$X381,"investment")/53</f>
        <v>0</v>
      </c>
      <c r="EA10" s="578">
        <f>SUM('9 Med Cruise'!$Z320:$Z381)</f>
        <v>0</v>
      </c>
      <c r="EC10" s="51" t="s">
        <v>22</v>
      </c>
      <c r="ED10" s="52" t="s">
        <v>23</v>
      </c>
      <c r="EE10" s="587">
        <f>COUNTA('12 West Med'!$R320:$R381)/53</f>
        <v>5.6603773584905662E-2</v>
      </c>
      <c r="EF10" s="576">
        <f>COUNTIF('12 West Med'!$V320:$V381,"In Progress")/53</f>
        <v>0</v>
      </c>
      <c r="EG10" s="577">
        <f>COUNTIF('12 West Med'!$V320:$V381,"completed")/53</f>
        <v>0</v>
      </c>
      <c r="EH10" s="577">
        <f>COUNTIF('12 West Med'!$V320:$V381,"Not started")/53</f>
        <v>0</v>
      </c>
      <c r="EI10" s="577">
        <f>COUNTIF('12 West Med'!$X320:$X381,"technical")/53</f>
        <v>0</v>
      </c>
      <c r="EJ10" s="577">
        <f>COUNTIF('12 West Med'!$X320:$X381,"training")/53</f>
        <v>0</v>
      </c>
      <c r="EK10" s="577">
        <f>COUNTIF('12 West Med'!$X320:$X381,"legal")/53</f>
        <v>0</v>
      </c>
      <c r="EL10" s="577">
        <f>COUNTIF('12 West Med'!$X320:$X381,"investment")/53</f>
        <v>0</v>
      </c>
      <c r="EM10" s="578">
        <f>SUM('12 West Med'!$Z320:$Z381)</f>
        <v>0</v>
      </c>
      <c r="EO10" s="51" t="s">
        <v>22</v>
      </c>
      <c r="EP10" s="52" t="s">
        <v>23</v>
      </c>
      <c r="EQ10" s="587">
        <f>COUNTA('13 OC'!$R320:$R381)/53</f>
        <v>0</v>
      </c>
      <c r="ER10" s="576">
        <f>COUNTIF('13 OC'!$V320:$V381,"In Progress")/53</f>
        <v>0</v>
      </c>
      <c r="ES10" s="577">
        <f>COUNTIF('13 OC'!$V320:$V381,"completed")/53</f>
        <v>0</v>
      </c>
      <c r="ET10" s="577">
        <f>COUNTIF('13 OC'!$V320:$V381,"Not started")/53</f>
        <v>0</v>
      </c>
      <c r="EU10" s="577">
        <f>COUNTIF('13 OC'!$X320:$X381,"technical")/53</f>
        <v>0</v>
      </c>
      <c r="EV10" s="577">
        <f>COUNTIF('13 OC'!$X320:$X381,"training")/53</f>
        <v>0</v>
      </c>
      <c r="EW10" s="577">
        <f>COUNTIF('13 OC'!$X320:$X381,"legal")/53</f>
        <v>0</v>
      </c>
      <c r="EX10" s="577">
        <f>COUNTIF('13 OC'!$X320:$X381,"investment")/53</f>
        <v>0</v>
      </c>
      <c r="EY10" s="578">
        <f>SUM('13 OC'!$Z320:$Z381)</f>
        <v>0</v>
      </c>
      <c r="FA10" s="51" t="s">
        <v>22</v>
      </c>
      <c r="FB10" s="52" t="s">
        <v>23</v>
      </c>
      <c r="FC10" s="587">
        <f>COUNTA('14 Sea Alarm'!$R320:$R381)/53</f>
        <v>0</v>
      </c>
      <c r="FD10" s="576">
        <f>COUNTIF('14 Sea Alarm'!$V320:$V381,"In Progress")/53</f>
        <v>0</v>
      </c>
      <c r="FE10" s="577">
        <f>COUNTIF('14 Sea Alarm'!$V320:$V381,"completed")/53</f>
        <v>0</v>
      </c>
      <c r="FF10" s="577">
        <f>COUNTIF('14 Sea Alarm'!$V320:$V381,"Not started")/53</f>
        <v>0</v>
      </c>
      <c r="FG10" s="577">
        <f>COUNTIF('14 Sea Alarm'!$X320:$X381,"technical")/53</f>
        <v>0</v>
      </c>
      <c r="FH10" s="577">
        <f>COUNTIF('14 Sea Alarm'!$X320:$X381,"training")/53</f>
        <v>0</v>
      </c>
      <c r="FI10" s="577">
        <f>COUNTIF('14 Sea Alarm'!$X320:$X381,"legal")/53</f>
        <v>0</v>
      </c>
      <c r="FJ10" s="577">
        <f>COUNTIF('14 Sea Alarm'!$X320:$X381,"investment")/53</f>
        <v>0</v>
      </c>
      <c r="FK10" s="578">
        <f>SUM('14 Sea Alarm'!$Z320:$Z381)</f>
        <v>0</v>
      </c>
      <c r="FM10" s="51" t="s">
        <v>22</v>
      </c>
      <c r="FN10" s="52" t="s">
        <v>23</v>
      </c>
      <c r="FO10" s="587">
        <f>COUNTA('15 ITOPF'!$R320:$R381)/53</f>
        <v>0</v>
      </c>
      <c r="FP10" s="576">
        <f>COUNTIF('15 ITOPF'!$V320:$V381,"In Progress")/53</f>
        <v>0</v>
      </c>
      <c r="FQ10" s="577">
        <f>COUNTIF('15 ITOPF'!$V320:$V381,"completed")/53</f>
        <v>0</v>
      </c>
      <c r="FR10" s="577">
        <f>COUNTIF('15 ITOPF'!$V320:$V381,"Not started")/53</f>
        <v>0</v>
      </c>
      <c r="FS10" s="577">
        <f>COUNTIF('15 ITOPF'!$X320:$X381,"technical")/53</f>
        <v>0</v>
      </c>
      <c r="FT10" s="577">
        <f>COUNTIF('15 ITOPF'!$X320:$X381,"training")/53</f>
        <v>0</v>
      </c>
      <c r="FU10" s="577">
        <f>COUNTIF('15 ITOPF'!$X320:$X381,"legal")/53</f>
        <v>0</v>
      </c>
      <c r="FV10" s="577">
        <f>COUNTIF('15 ITOPF'!$X320:$X381,"investment")/53</f>
        <v>0</v>
      </c>
      <c r="FW10" s="578">
        <f>SUM('15 ITOPF'!$Z320:$Z381)</f>
        <v>0</v>
      </c>
    </row>
    <row r="11" spans="1:179" s="59" customFormat="1" ht="69" customHeight="1">
      <c r="A11" s="51" t="s">
        <v>24</v>
      </c>
      <c r="B11" s="52" t="s">
        <v>25</v>
      </c>
      <c r="C11" s="587">
        <f>COUNTA('10 REMPEC'!$R383:$R415)/22</f>
        <v>0.31818181818181818</v>
      </c>
      <c r="D11" s="576">
        <f>COUNTIF('10 REMPEC'!$V383:$V415,"In Progress")/22</f>
        <v>4.5454545454545456E-2</v>
      </c>
      <c r="E11" s="577">
        <f>COUNTIF('10 REMPEC'!$V383:$V415,"completed")/22</f>
        <v>0</v>
      </c>
      <c r="F11" s="577">
        <f>COUNTIF('10 REMPEC'!$V383:$V415,"Not started")/22</f>
        <v>4.5454545454545456E-2</v>
      </c>
      <c r="G11" s="577">
        <f>COUNTIF('10 REMPEC'!$X383:$X415,"technical")/22</f>
        <v>9.0909090909090912E-2</v>
      </c>
      <c r="H11" s="577">
        <f>COUNTIF('10 REMPEC'!$X383:$X415,"training")/22</f>
        <v>0</v>
      </c>
      <c r="I11" s="577">
        <f>COUNTIF('10 REMPEC'!$X383:$X415,"legal")/22</f>
        <v>0</v>
      </c>
      <c r="J11" s="577">
        <f>COUNTIF('10 REMPEC'!$X383:$X415,"investment")/22</f>
        <v>0</v>
      </c>
      <c r="K11" s="578">
        <f>SUM('10 REMPEC'!$Z382:$Z415)</f>
        <v>0</v>
      </c>
      <c r="M11" s="51" t="s">
        <v>24</v>
      </c>
      <c r="N11" s="52" t="s">
        <v>25</v>
      </c>
      <c r="O11" s="587">
        <f>COUNTA('11 EMSA'!$R383:$R415)/22</f>
        <v>4.5454545454545456E-2</v>
      </c>
      <c r="P11" s="576">
        <f>COUNTIF('11 EMSA'!$V383:$V415,"In Progress")/22</f>
        <v>0</v>
      </c>
      <c r="Q11" s="577">
        <f>COUNTIF('11 EMSA'!$V383:$V415,"completed")/22</f>
        <v>0</v>
      </c>
      <c r="R11" s="577">
        <f>COUNTIF('11 EMSA'!$V383:$V415,"Not started")/22</f>
        <v>0</v>
      </c>
      <c r="S11" s="577">
        <f>COUNTIF('11 EMSA'!$X383:$X415,"technical")/22</f>
        <v>0</v>
      </c>
      <c r="T11" s="577">
        <f>COUNTIF('11 EMSA'!$X383:$X415,"training")/22</f>
        <v>0</v>
      </c>
      <c r="U11" s="577">
        <f>COUNTIF('11 EMSA'!$X383:$X415,"legal")/22</f>
        <v>0</v>
      </c>
      <c r="V11" s="577">
        <f>COUNTIF('11 EMSA'!$X383:$X415,"investment")/22</f>
        <v>0</v>
      </c>
      <c r="W11" s="578">
        <f>SUM('11 EMSA'!$Z382:$Z415)</f>
        <v>0</v>
      </c>
      <c r="X11" s="591"/>
      <c r="Y11" s="51" t="s">
        <v>24</v>
      </c>
      <c r="Z11" s="52" t="s">
        <v>25</v>
      </c>
      <c r="AA11" s="587">
        <f>COUNTA('5 CEDRE'!$R383:$R415)/22</f>
        <v>0</v>
      </c>
      <c r="AB11" s="576">
        <f>COUNTIF('5 CEDRE'!$V383:$V415,"In Progress")/22</f>
        <v>0</v>
      </c>
      <c r="AC11" s="577">
        <f>COUNTIF('5 CEDRE'!$V383:$V415,"completed")/22</f>
        <v>0</v>
      </c>
      <c r="AD11" s="577">
        <f>COUNTIF('5 CEDRE'!$V383:$V415,"Not started")/22</f>
        <v>0</v>
      </c>
      <c r="AE11" s="577">
        <f>COUNTIF('5 CEDRE'!$X383:$X415,"technical")/22</f>
        <v>0</v>
      </c>
      <c r="AF11" s="577">
        <f>COUNTIF('5 CEDRE'!$X383:$X415,"training")/22</f>
        <v>0</v>
      </c>
      <c r="AG11" s="577">
        <f>COUNTIF('5 CEDRE'!$X383:$X415,"legal")/22</f>
        <v>0</v>
      </c>
      <c r="AH11" s="577">
        <f>COUNTIF('5 CEDRE'!$X383:$X415,"investment")/22</f>
        <v>0</v>
      </c>
      <c r="AI11" s="578">
        <f>SUM('5 CEDRE'!$Z382:$Z415)</f>
        <v>0</v>
      </c>
      <c r="AJ11" s="591"/>
      <c r="AK11" s="51" t="s">
        <v>24</v>
      </c>
      <c r="AL11" s="52" t="s">
        <v>25</v>
      </c>
      <c r="AM11" s="587">
        <f>COUNTA('1 UfM'!$R383:$R415)/22</f>
        <v>4.5454545454545456E-2</v>
      </c>
      <c r="AN11" s="576">
        <f>COUNTIF('1 UfM'!$V383:$V415,"In Progress")/22</f>
        <v>4.5454545454545456E-2</v>
      </c>
      <c r="AO11" s="577">
        <f>COUNTIF('1 UfM'!$V383:$V415,"completed")/22</f>
        <v>0</v>
      </c>
      <c r="AP11" s="577">
        <f>COUNTIF('1 UfM'!$V383:$V415,"Not started")/22</f>
        <v>0</v>
      </c>
      <c r="AQ11" s="577">
        <f>COUNTIF('1 UfM'!$X383:$X415,"technical")/22</f>
        <v>4.5454545454545456E-2</v>
      </c>
      <c r="AR11" s="577">
        <f>COUNTIF('1 UfM'!$X383:$X415,"training")/22</f>
        <v>0</v>
      </c>
      <c r="AS11" s="577">
        <f>COUNTIF('1 UfM'!$X383:$X415,"legal")/22</f>
        <v>0</v>
      </c>
      <c r="AT11" s="577">
        <f>COUNTIF('1 UfM'!$X383:$X415,"investment")/22</f>
        <v>0</v>
      </c>
      <c r="AU11" s="578">
        <f>SUM('1 UfM'!$Z382:$Z415)</f>
        <v>0</v>
      </c>
      <c r="AV11" s="590"/>
      <c r="AW11" s="51" t="s">
        <v>24</v>
      </c>
      <c r="AX11" s="52" t="s">
        <v>25</v>
      </c>
      <c r="AY11" s="587">
        <f>COUNTA('2 OSRL'!$R383:$R415)/22</f>
        <v>0</v>
      </c>
      <c r="AZ11" s="576">
        <f>COUNTIF('2 OSRL'!$V383:$V415,"In Progress")/22</f>
        <v>0</v>
      </c>
      <c r="BA11" s="577">
        <f>COUNTIF('2 OSRL'!$V383:$V415,"completed")/22</f>
        <v>0</v>
      </c>
      <c r="BB11" s="577">
        <f>COUNTIF('2 OSRL'!$V383:$V415,"Not started")/22</f>
        <v>0</v>
      </c>
      <c r="BC11" s="577">
        <f>COUNTIF('2 OSRL'!$X383:$X415,"technical")/22</f>
        <v>0</v>
      </c>
      <c r="BD11" s="577">
        <f>COUNTIF('2 OSRL'!$X383:$X415,"training")/22</f>
        <v>0</v>
      </c>
      <c r="BE11" s="577">
        <f>COUNTIF('2 OSRL'!$X383:$X415,"legal")/22</f>
        <v>0</v>
      </c>
      <c r="BF11" s="577">
        <f>COUNTIF('2 OSRL'!$X383:$X415,"investment")/22</f>
        <v>0</v>
      </c>
      <c r="BG11" s="578">
        <f>SUM('2 OSRL'!$Z382:$Z415)</f>
        <v>0</v>
      </c>
      <c r="BH11" s="590"/>
      <c r="BI11" s="51" t="s">
        <v>24</v>
      </c>
      <c r="BJ11" s="52" t="s">
        <v>25</v>
      </c>
      <c r="BK11" s="587">
        <f>COUNTA('3 Federchimica'!$R383:$R415)/22</f>
        <v>0</v>
      </c>
      <c r="BL11" s="576">
        <f>COUNTIF('3 Federchimica'!$V383:$V415,"In Progress")/22</f>
        <v>0</v>
      </c>
      <c r="BM11" s="577">
        <f>COUNTIF('3 Federchimica'!$V383:$V415,"completed")/22</f>
        <v>0</v>
      </c>
      <c r="BN11" s="577">
        <f>COUNTIF('3 Federchimica'!$V383:$V415,"Not started")/22</f>
        <v>0</v>
      </c>
      <c r="BO11" s="577">
        <f>COUNTIF('3 Federchimica'!$X383:$X415,"technical")/22</f>
        <v>0</v>
      </c>
      <c r="BP11" s="577">
        <f>COUNTIF('3 Federchimica'!$X383:$X415,"training")/22</f>
        <v>0</v>
      </c>
      <c r="BQ11" s="577">
        <f>COUNTIF('3 Federchimica'!$X383:$X415,"legal")/22</f>
        <v>0</v>
      </c>
      <c r="BR11" s="577">
        <f>COUNTIF('3 Federchimica'!$X383:$X415,"investment")/22</f>
        <v>0</v>
      </c>
      <c r="BS11" s="578">
        <f>SUM('3 Federchimica'!$Z382:$Z415)</f>
        <v>0</v>
      </c>
      <c r="BU11" s="51" t="s">
        <v>24</v>
      </c>
      <c r="BV11" s="52" t="s">
        <v>25</v>
      </c>
      <c r="BW11" s="587">
        <f>COUNTA('4 IOI'!$R383:$R415)/22</f>
        <v>0</v>
      </c>
      <c r="BX11" s="576">
        <f>COUNTIF('4 IOI'!$V383:$V415,"In Progress")/22</f>
        <v>0</v>
      </c>
      <c r="BY11" s="577">
        <f>COUNTIF('4 IOI'!$V383:$V415,"completed")/22</f>
        <v>0</v>
      </c>
      <c r="BZ11" s="577">
        <f>COUNTIF('4 IOI'!$V383:$V415,"Not started")/22</f>
        <v>0</v>
      </c>
      <c r="CA11" s="577">
        <f>COUNTIF('4 IOI'!$X383:$X415,"technical")/22</f>
        <v>0</v>
      </c>
      <c r="CB11" s="577">
        <f>COUNTIF('4 IOI'!$X383:$X415,"training")/22</f>
        <v>0</v>
      </c>
      <c r="CC11" s="577">
        <f>COUNTIF('4 IOI'!$X383:$X415,"legal")/22</f>
        <v>0</v>
      </c>
      <c r="CD11" s="577">
        <f>COUNTIF('4 IOI'!$X383:$X415,"investment")/22</f>
        <v>0</v>
      </c>
      <c r="CE11" s="578">
        <f>SUM('4 IOI'!$Z382:$Z415)</f>
        <v>0</v>
      </c>
      <c r="CG11" s="51" t="s">
        <v>24</v>
      </c>
      <c r="CH11" s="52" t="s">
        <v>25</v>
      </c>
      <c r="CI11" s="587">
        <f>COUNTA('6 PAM'!$R383:$R415)/22</f>
        <v>0</v>
      </c>
      <c r="CJ11" s="576">
        <f>COUNTIF('6 PAM'!$V383:$V415,"In Progress")/22</f>
        <v>0</v>
      </c>
      <c r="CK11" s="577">
        <f>COUNTIF('6 PAM'!$V383:$V415,"completed")/22</f>
        <v>0</v>
      </c>
      <c r="CL11" s="577">
        <f>COUNTIF('6 PAM'!$V383:$V415,"Not started")/22</f>
        <v>0</v>
      </c>
      <c r="CM11" s="577">
        <f>COUNTIF('6 PAM'!$X383:$X415,"technical")/22</f>
        <v>0</v>
      </c>
      <c r="CN11" s="577">
        <f>COUNTIF('6 PAM'!$X383:$X415,"training")/22</f>
        <v>0</v>
      </c>
      <c r="CO11" s="577">
        <f>COUNTIF('6 PAM'!$X383:$X415,"legal")/22</f>
        <v>0</v>
      </c>
      <c r="CP11" s="577">
        <f>COUNTIF('6 PAM'!$X383:$X415,"investment")/22</f>
        <v>0</v>
      </c>
      <c r="CQ11" s="578">
        <f>SUM('6 PAM'!$Z382:$Z415)</f>
        <v>0</v>
      </c>
      <c r="CS11" s="51" t="s">
        <v>24</v>
      </c>
      <c r="CT11" s="52" t="s">
        <v>25</v>
      </c>
      <c r="CU11" s="587">
        <f>COUNTA('7 CLIA'!$R383:$R415)/22</f>
        <v>0</v>
      </c>
      <c r="CV11" s="576">
        <f>COUNTIF('7 CLIA'!$V383:$V415,"In Progress")/22</f>
        <v>0</v>
      </c>
      <c r="CW11" s="577">
        <f>COUNTIF('7 CLIA'!$V383:$V415,"completed")/22</f>
        <v>0</v>
      </c>
      <c r="CX11" s="577">
        <f>COUNTIF('7 CLIA'!$V383:$V415,"Not started")/22</f>
        <v>0</v>
      </c>
      <c r="CY11" s="577">
        <f>COUNTIF('7 CLIA'!$X383:$X415,"technical")/22</f>
        <v>0</v>
      </c>
      <c r="CZ11" s="577">
        <f>COUNTIF('7 CLIA'!$X383:$X415,"training")/22</f>
        <v>0</v>
      </c>
      <c r="DA11" s="577">
        <f>COUNTIF('7 CLIA'!$X383:$X415,"legal")/22</f>
        <v>0</v>
      </c>
      <c r="DB11" s="577">
        <f>COUNTIF('7 CLIA'!$X383:$X415,"investment")/22</f>
        <v>0</v>
      </c>
      <c r="DC11" s="578">
        <f>SUM('7 CLIA'!$Z382:$Z415)</f>
        <v>0</v>
      </c>
      <c r="DE11" s="51" t="s">
        <v>24</v>
      </c>
      <c r="DF11" s="52" t="s">
        <v>25</v>
      </c>
      <c r="DG11" s="587">
        <f>COUNTA('8 IPIECA'!$R383:$R415)/22</f>
        <v>9.0909090909090912E-2</v>
      </c>
      <c r="DH11" s="576">
        <f>COUNTIF('8 IPIECA'!$V383:$V415,"In Progress")/22</f>
        <v>0</v>
      </c>
      <c r="DI11" s="577">
        <f>COUNTIF('8 IPIECA'!$V383:$V415,"completed")/22</f>
        <v>0</v>
      </c>
      <c r="DJ11" s="577">
        <f>COUNTIF('8 IPIECA'!$V383:$V415,"Not started")/22</f>
        <v>4.5454545454545456E-2</v>
      </c>
      <c r="DK11" s="577">
        <f>COUNTIF('8 IPIECA'!$X383:$X415,"technical")/22</f>
        <v>0</v>
      </c>
      <c r="DL11" s="577">
        <f>COUNTIF('8 IPIECA'!$X383:$X415,"training")/22</f>
        <v>0</v>
      </c>
      <c r="DM11" s="577">
        <f>COUNTIF('8 IPIECA'!$X383:$X415,"legal")/22</f>
        <v>0</v>
      </c>
      <c r="DN11" s="577">
        <f>COUNTIF('8 IPIECA'!$X383:$X415,"investment")/22</f>
        <v>0</v>
      </c>
      <c r="DO11" s="578">
        <f>SUM('8 IPIECA'!$Z382:$Z415)</f>
        <v>0</v>
      </c>
      <c r="DQ11" s="51" t="s">
        <v>24</v>
      </c>
      <c r="DR11" s="52" t="s">
        <v>25</v>
      </c>
      <c r="DS11" s="587">
        <f>COUNTA('9 Med Cruise'!$R383:$R415)/22</f>
        <v>0</v>
      </c>
      <c r="DT11" s="576">
        <f>COUNTIF('9 Med Cruise'!$V383:$V415,"In Progress")/22</f>
        <v>0</v>
      </c>
      <c r="DU11" s="577">
        <f>COUNTIF('9 Med Cruise'!$V383:$V415,"completed")/22</f>
        <v>0</v>
      </c>
      <c r="DV11" s="577">
        <f>COUNTIF('9 Med Cruise'!$V383:$V415,"Not started")/22</f>
        <v>0</v>
      </c>
      <c r="DW11" s="577">
        <f>COUNTIF('9 Med Cruise'!$X383:$X415,"technical")/22</f>
        <v>0</v>
      </c>
      <c r="DX11" s="577">
        <f>COUNTIF('9 Med Cruise'!$X383:$X415,"training")/22</f>
        <v>0</v>
      </c>
      <c r="DY11" s="577">
        <f>COUNTIF('9 Med Cruise'!$X383:$X415,"legal")/22</f>
        <v>0</v>
      </c>
      <c r="DZ11" s="577">
        <f>COUNTIF('9 Med Cruise'!$X383:$X415,"investment")/22</f>
        <v>0</v>
      </c>
      <c r="EA11" s="578">
        <f>SUM('9 Med Cruise'!$Z382:$Z415)</f>
        <v>0</v>
      </c>
      <c r="EC11" s="51" t="s">
        <v>24</v>
      </c>
      <c r="ED11" s="52" t="s">
        <v>25</v>
      </c>
      <c r="EE11" s="587">
        <f>COUNTA('12 West Med'!$R383:$R415)/22</f>
        <v>4.5454545454545456E-2</v>
      </c>
      <c r="EF11" s="576">
        <f>COUNTIF('12 West Med'!$V383:$V415,"In Progress")/22</f>
        <v>0</v>
      </c>
      <c r="EG11" s="577">
        <f>COUNTIF('12 West Med'!$V383:$V415,"completed")/22</f>
        <v>0</v>
      </c>
      <c r="EH11" s="577">
        <f>COUNTIF('12 West Med'!$V383:$V415,"Not started")/22</f>
        <v>0</v>
      </c>
      <c r="EI11" s="577">
        <f>COUNTIF('12 West Med'!$X383:$X415,"technical")/22</f>
        <v>0</v>
      </c>
      <c r="EJ11" s="577">
        <f>COUNTIF('12 West Med'!$X383:$X415,"training")/22</f>
        <v>0</v>
      </c>
      <c r="EK11" s="577">
        <f>COUNTIF('12 West Med'!$X383:$X415,"legal")/22</f>
        <v>0</v>
      </c>
      <c r="EL11" s="577">
        <f>COUNTIF('12 West Med'!$X383:$X415,"investment")/22</f>
        <v>0</v>
      </c>
      <c r="EM11" s="578">
        <f>SUM('12 West Med'!$Z382:$Z415)</f>
        <v>0</v>
      </c>
      <c r="EO11" s="51" t="s">
        <v>24</v>
      </c>
      <c r="EP11" s="52" t="s">
        <v>25</v>
      </c>
      <c r="EQ11" s="587">
        <f>COUNTA('13 OC'!$R383:$R415)/22</f>
        <v>0</v>
      </c>
      <c r="ER11" s="576">
        <f>COUNTIF('13 OC'!$V383:$V415,"In Progress")/22</f>
        <v>0</v>
      </c>
      <c r="ES11" s="577">
        <f>COUNTIF('13 OC'!$V383:$V415,"completed")/22</f>
        <v>0</v>
      </c>
      <c r="ET11" s="577">
        <f>COUNTIF('13 OC'!$V383:$V415,"Not started")/22</f>
        <v>0</v>
      </c>
      <c r="EU11" s="577">
        <f>COUNTIF('13 OC'!$X383:$X415,"technical")/22</f>
        <v>0</v>
      </c>
      <c r="EV11" s="577">
        <f>COUNTIF('13 OC'!$X383:$X415,"training")/22</f>
        <v>0</v>
      </c>
      <c r="EW11" s="577">
        <f>COUNTIF('13 OC'!$X383:$X415,"legal")/22</f>
        <v>0</v>
      </c>
      <c r="EX11" s="577">
        <f>COUNTIF('13 OC'!$X383:$X415,"investment")/22</f>
        <v>0</v>
      </c>
      <c r="EY11" s="578">
        <f>SUM('13 OC'!$Z382:$Z415)</f>
        <v>0</v>
      </c>
      <c r="FA11" s="51" t="s">
        <v>24</v>
      </c>
      <c r="FB11" s="52" t="s">
        <v>25</v>
      </c>
      <c r="FC11" s="587">
        <f>COUNTA('14 Sea Alarm'!$R383:$R415)/22</f>
        <v>0</v>
      </c>
      <c r="FD11" s="576">
        <f>COUNTIF('14 Sea Alarm'!$V383:$V415,"In Progress")/22</f>
        <v>0</v>
      </c>
      <c r="FE11" s="577">
        <f>COUNTIF('14 Sea Alarm'!$V383:$V415,"completed")/22</f>
        <v>0</v>
      </c>
      <c r="FF11" s="577">
        <f>COUNTIF('14 Sea Alarm'!$V383:$V415,"Not started")/22</f>
        <v>0</v>
      </c>
      <c r="FG11" s="577">
        <f>COUNTIF('14 Sea Alarm'!$X383:$X415,"technical")/22</f>
        <v>0</v>
      </c>
      <c r="FH11" s="577">
        <f>COUNTIF('14 Sea Alarm'!$X383:$X415,"training")/22</f>
        <v>0</v>
      </c>
      <c r="FI11" s="577">
        <f>COUNTIF('14 Sea Alarm'!$X383:$X415,"legal")/22</f>
        <v>0</v>
      </c>
      <c r="FJ11" s="577">
        <f>COUNTIF('14 Sea Alarm'!$X383:$X415,"investment")/22</f>
        <v>0</v>
      </c>
      <c r="FK11" s="578">
        <f>SUM('14 Sea Alarm'!$Z382:$Z415)</f>
        <v>0</v>
      </c>
      <c r="FM11" s="51" t="s">
        <v>24</v>
      </c>
      <c r="FN11" s="52" t="s">
        <v>25</v>
      </c>
      <c r="FO11" s="587">
        <f>COUNTA('15 ITOPF'!$R383:$R415)/22</f>
        <v>0</v>
      </c>
      <c r="FP11" s="576">
        <f>COUNTIF('15 ITOPF'!$V383:$V415,"In Progress")/22</f>
        <v>0</v>
      </c>
      <c r="FQ11" s="577">
        <f>COUNTIF('15 ITOPF'!$V383:$V415,"completed")/22</f>
        <v>0</v>
      </c>
      <c r="FR11" s="577">
        <f>COUNTIF('15 ITOPF'!$V383:$V415,"Not started")/22</f>
        <v>0</v>
      </c>
      <c r="FS11" s="577">
        <f>COUNTIF('15 ITOPF'!$X383:$X415,"technical")/22</f>
        <v>0</v>
      </c>
      <c r="FT11" s="577">
        <f>COUNTIF('15 ITOPF'!$X383:$X415,"training")/22</f>
        <v>0</v>
      </c>
      <c r="FU11" s="577">
        <f>COUNTIF('15 ITOPF'!$X383:$X415,"legal")/22</f>
        <v>0</v>
      </c>
      <c r="FV11" s="577">
        <f>COUNTIF('15 ITOPF'!$X383:$X415,"investment")/22</f>
        <v>0</v>
      </c>
      <c r="FW11" s="578">
        <f>SUM('15 ITOPF'!$Z382:$Z415)</f>
        <v>0</v>
      </c>
    </row>
    <row r="12" spans="1:179" s="59" customFormat="1" ht="69" customHeight="1" thickBot="1">
      <c r="A12" s="53" t="s">
        <v>26</v>
      </c>
      <c r="B12" s="54" t="s">
        <v>27</v>
      </c>
      <c r="C12" s="588">
        <f>COUNTA('10 REMPEC'!$R417:$R432)/5</f>
        <v>0.4</v>
      </c>
      <c r="D12" s="579">
        <f>COUNTIF('10 REMPEC'!$V417:$V432,"In Progress")/5</f>
        <v>0.4</v>
      </c>
      <c r="E12" s="580">
        <f>COUNTIF('10 REMPEC'!$V417:$V432,"completed")/5</f>
        <v>0</v>
      </c>
      <c r="F12" s="580">
        <f>COUNTIF('10 REMPEC'!$V417:$V432,"Not started")/5</f>
        <v>0</v>
      </c>
      <c r="G12" s="580">
        <f>COUNTIF('10 REMPEC'!$X417:$X432,"technical")/5</f>
        <v>0.4</v>
      </c>
      <c r="H12" s="580">
        <f>COUNTIF('10 REMPEC'!$X417:$X432,"training")/5</f>
        <v>0</v>
      </c>
      <c r="I12" s="580">
        <f>COUNTIF('10 REMPEC'!$X417:$X432,"legal")/5</f>
        <v>0</v>
      </c>
      <c r="J12" s="580">
        <f>COUNTIF('10 REMPEC'!$X417:$X432,"investment")/5</f>
        <v>0</v>
      </c>
      <c r="K12" s="581">
        <f>SUM('10 REMPEC'!$Z417:$Z432)</f>
        <v>93000</v>
      </c>
      <c r="M12" s="53" t="s">
        <v>26</v>
      </c>
      <c r="N12" s="54" t="s">
        <v>27</v>
      </c>
      <c r="O12" s="588">
        <f>COUNTA('11 EMSA'!$R417:$R432)/5</f>
        <v>0</v>
      </c>
      <c r="P12" s="579">
        <f>COUNTIF('11 EMSA'!$V417:$V432,"In Progress")/5</f>
        <v>0</v>
      </c>
      <c r="Q12" s="580">
        <f>COUNTIF('11 EMSA'!$V417:$V432,"completed")/5</f>
        <v>0</v>
      </c>
      <c r="R12" s="580">
        <f>COUNTIF('11 EMSA'!$V417:$V432,"Not started")/5</f>
        <v>0</v>
      </c>
      <c r="S12" s="580">
        <f>COUNTIF('11 EMSA'!$X417:$X432,"technical")/5</f>
        <v>0</v>
      </c>
      <c r="T12" s="580">
        <f>COUNTIF('11 EMSA'!$X417:$X432,"training")/5</f>
        <v>0</v>
      </c>
      <c r="U12" s="580">
        <f>COUNTIF('11 EMSA'!$X417:$X432,"legal")/5</f>
        <v>0</v>
      </c>
      <c r="V12" s="580">
        <f>COUNTIF('11 EMSA'!$X417:$X432,"investment")/5</f>
        <v>0</v>
      </c>
      <c r="W12" s="581">
        <f>SUM('11 EMSA'!$Z417:$Z432)</f>
        <v>0</v>
      </c>
      <c r="X12" s="591"/>
      <c r="Y12" s="53" t="s">
        <v>26</v>
      </c>
      <c r="Z12" s="54" t="s">
        <v>27</v>
      </c>
      <c r="AA12" s="588">
        <f>COUNTA('5 CEDRE'!$R417:$R432)/5</f>
        <v>0</v>
      </c>
      <c r="AB12" s="579">
        <f>COUNTIF('5 CEDRE'!$V417:$V432,"In Progress")/5</f>
        <v>0</v>
      </c>
      <c r="AC12" s="580">
        <f>COUNTIF('5 CEDRE'!$V417:$V432,"completed")/5</f>
        <v>0</v>
      </c>
      <c r="AD12" s="580">
        <f>COUNTIF('5 CEDRE'!$V417:$V432,"Not started")/5</f>
        <v>0</v>
      </c>
      <c r="AE12" s="580">
        <f>COUNTIF('5 CEDRE'!$X417:$X432,"technical")/5</f>
        <v>0</v>
      </c>
      <c r="AF12" s="580">
        <f>COUNTIF('5 CEDRE'!$X417:$X432,"training")/5</f>
        <v>0</v>
      </c>
      <c r="AG12" s="580">
        <f>COUNTIF('5 CEDRE'!$X417:$X432,"legal")/5</f>
        <v>0</v>
      </c>
      <c r="AH12" s="580">
        <f>COUNTIF('5 CEDRE'!$X417:$X432,"investment")/5</f>
        <v>0</v>
      </c>
      <c r="AI12" s="581">
        <f>SUM('5 CEDRE'!$Z417:$Z432)</f>
        <v>0</v>
      </c>
      <c r="AJ12" s="591"/>
      <c r="AK12" s="53" t="s">
        <v>26</v>
      </c>
      <c r="AL12" s="54" t="s">
        <v>27</v>
      </c>
      <c r="AM12" s="588">
        <f>COUNTA('1 UfM'!$R417:$R432)/5</f>
        <v>0</v>
      </c>
      <c r="AN12" s="579">
        <f>COUNTIF('1 UfM'!$V417:$V432,"In Progress")/5</f>
        <v>0</v>
      </c>
      <c r="AO12" s="580">
        <f>COUNTIF('1 UfM'!$V417:$V432,"completed")/5</f>
        <v>0</v>
      </c>
      <c r="AP12" s="580">
        <f>COUNTIF('1 UfM'!$V417:$V432,"Not started")/5</f>
        <v>0</v>
      </c>
      <c r="AQ12" s="580">
        <f>COUNTIF('1 UfM'!$X417:$X432,"technical")/5</f>
        <v>0</v>
      </c>
      <c r="AR12" s="580">
        <f>COUNTIF('1 UfM'!$X417:$X432,"training")/5</f>
        <v>0</v>
      </c>
      <c r="AS12" s="580">
        <f>COUNTIF('1 UfM'!$X417:$X432,"legal")/5</f>
        <v>0</v>
      </c>
      <c r="AT12" s="580">
        <f>COUNTIF('1 UfM'!$X417:$X432,"investment")/5</f>
        <v>0</v>
      </c>
      <c r="AU12" s="581">
        <f>SUM('1 UfM'!$Z417:$Z432)</f>
        <v>0</v>
      </c>
      <c r="AV12" s="590"/>
      <c r="AW12" s="53" t="s">
        <v>26</v>
      </c>
      <c r="AX12" s="54" t="s">
        <v>27</v>
      </c>
      <c r="AY12" s="588">
        <f>COUNTA('2 OSRL'!$R417:$R432)/5</f>
        <v>0</v>
      </c>
      <c r="AZ12" s="579">
        <f>COUNTIF('2 OSRL'!$V417:$V432,"In Progress")/5</f>
        <v>0</v>
      </c>
      <c r="BA12" s="580">
        <f>COUNTIF('2 OSRL'!$V417:$V432,"completed")/5</f>
        <v>0</v>
      </c>
      <c r="BB12" s="580">
        <f>COUNTIF('2 OSRL'!$V417:$V432,"Not started")/5</f>
        <v>0</v>
      </c>
      <c r="BC12" s="580">
        <f>COUNTIF('2 OSRL'!$X417:$X432,"technical")/5</f>
        <v>0</v>
      </c>
      <c r="BD12" s="580">
        <f>COUNTIF('2 OSRL'!$X417:$X432,"training")/5</f>
        <v>0</v>
      </c>
      <c r="BE12" s="580">
        <f>COUNTIF('2 OSRL'!$X417:$X432,"legal")/5</f>
        <v>0</v>
      </c>
      <c r="BF12" s="580">
        <f>COUNTIF('2 OSRL'!$X417:$X432,"investment")/5</f>
        <v>0</v>
      </c>
      <c r="BG12" s="581">
        <f>SUM('2 OSRL'!$Z417:$Z432)</f>
        <v>0</v>
      </c>
      <c r="BH12" s="590"/>
      <c r="BI12" s="53" t="s">
        <v>26</v>
      </c>
      <c r="BJ12" s="54" t="s">
        <v>27</v>
      </c>
      <c r="BK12" s="588">
        <f>COUNTA('3 Federchimica'!$R417:$R432)/5</f>
        <v>0</v>
      </c>
      <c r="BL12" s="579">
        <f>COUNTIF('3 Federchimica'!$V417:$V432,"In Progress")/5</f>
        <v>0</v>
      </c>
      <c r="BM12" s="580">
        <f>COUNTIF('3 Federchimica'!$V417:$V432,"completed")/5</f>
        <v>0</v>
      </c>
      <c r="BN12" s="580">
        <f>COUNTIF('3 Federchimica'!$V417:$V432,"Not started")/5</f>
        <v>0</v>
      </c>
      <c r="BO12" s="580">
        <f>COUNTIF('3 Federchimica'!$X417:$X432,"technical")/5</f>
        <v>0</v>
      </c>
      <c r="BP12" s="580">
        <f>COUNTIF('3 Federchimica'!$X417:$X432,"training")/5</f>
        <v>0</v>
      </c>
      <c r="BQ12" s="580">
        <f>COUNTIF('3 Federchimica'!$X417:$X432,"legal")/5</f>
        <v>0</v>
      </c>
      <c r="BR12" s="580">
        <f>COUNTIF('3 Federchimica'!$X417:$X432,"investment")/5</f>
        <v>0</v>
      </c>
      <c r="BS12" s="581">
        <f>SUM('3 Federchimica'!$Z417:$Z432)</f>
        <v>0</v>
      </c>
      <c r="BU12" s="53" t="s">
        <v>26</v>
      </c>
      <c r="BV12" s="54" t="s">
        <v>27</v>
      </c>
      <c r="BW12" s="588">
        <f>COUNTA('4 IOI'!$R417:$R432)/5</f>
        <v>0</v>
      </c>
      <c r="BX12" s="579">
        <f>COUNTIF('4 IOI'!$V417:$V432,"In Progress")/5</f>
        <v>0</v>
      </c>
      <c r="BY12" s="580">
        <f>COUNTIF('4 IOI'!$V417:$V432,"completed")/5</f>
        <v>0</v>
      </c>
      <c r="BZ12" s="580">
        <f>COUNTIF('4 IOI'!$V417:$V432,"Not started")/5</f>
        <v>0</v>
      </c>
      <c r="CA12" s="580">
        <f>COUNTIF('4 IOI'!$X417:$X432,"technical")/5</f>
        <v>0</v>
      </c>
      <c r="CB12" s="580">
        <f>COUNTIF('4 IOI'!$X417:$X432,"training")/5</f>
        <v>0</v>
      </c>
      <c r="CC12" s="580">
        <f>COUNTIF('4 IOI'!$X417:$X432,"legal")/5</f>
        <v>0</v>
      </c>
      <c r="CD12" s="580">
        <f>COUNTIF('4 IOI'!$X417:$X432,"investment")/5</f>
        <v>0</v>
      </c>
      <c r="CE12" s="581">
        <f>SUM('4 IOI'!$Z417:$Z432)</f>
        <v>0</v>
      </c>
      <c r="CG12" s="53" t="s">
        <v>26</v>
      </c>
      <c r="CH12" s="54" t="s">
        <v>27</v>
      </c>
      <c r="CI12" s="588">
        <f>COUNTA('6 PAM'!$R417:$R432)/5</f>
        <v>0</v>
      </c>
      <c r="CJ12" s="579">
        <f>COUNTIF('6 PAM'!$V417:$V432,"In Progress")/5</f>
        <v>0</v>
      </c>
      <c r="CK12" s="580">
        <f>COUNTIF('6 PAM'!$V417:$V432,"completed")/5</f>
        <v>0</v>
      </c>
      <c r="CL12" s="580">
        <f>COUNTIF('6 PAM'!$V417:$V432,"Not started")/5</f>
        <v>0</v>
      </c>
      <c r="CM12" s="580">
        <f>COUNTIF('6 PAM'!$X417:$X432,"technical")/5</f>
        <v>0</v>
      </c>
      <c r="CN12" s="580">
        <f>COUNTIF('6 PAM'!$X417:$X432,"training")/5</f>
        <v>0</v>
      </c>
      <c r="CO12" s="580">
        <f>COUNTIF('6 PAM'!$X417:$X432,"legal")/5</f>
        <v>0</v>
      </c>
      <c r="CP12" s="580">
        <f>COUNTIF('6 PAM'!$X417:$X432,"investment")/5</f>
        <v>0</v>
      </c>
      <c r="CQ12" s="581">
        <f>SUM('6 PAM'!$Z417:$Z432)</f>
        <v>0</v>
      </c>
      <c r="CS12" s="53" t="s">
        <v>26</v>
      </c>
      <c r="CT12" s="54" t="s">
        <v>27</v>
      </c>
      <c r="CU12" s="588">
        <f>COUNTA('7 CLIA'!$R417:$R432)/5</f>
        <v>0</v>
      </c>
      <c r="CV12" s="579">
        <f>COUNTIF('7 CLIA'!$V417:$V432,"In Progress")/5</f>
        <v>0</v>
      </c>
      <c r="CW12" s="580">
        <f>COUNTIF('7 CLIA'!$V417:$V432,"completed")/5</f>
        <v>0</v>
      </c>
      <c r="CX12" s="580">
        <f>COUNTIF('7 CLIA'!$V417:$V432,"Not started")/5</f>
        <v>0</v>
      </c>
      <c r="CY12" s="580">
        <f>COUNTIF('7 CLIA'!$X417:$X432,"technical")/5</f>
        <v>0</v>
      </c>
      <c r="CZ12" s="580">
        <f>COUNTIF('7 CLIA'!$X417:$X432,"training")/5</f>
        <v>0</v>
      </c>
      <c r="DA12" s="580">
        <f>COUNTIF('7 CLIA'!$X417:$X432,"legal")/5</f>
        <v>0</v>
      </c>
      <c r="DB12" s="580">
        <f>COUNTIF('7 CLIA'!$X417:$X432,"investment")/5</f>
        <v>0</v>
      </c>
      <c r="DC12" s="581">
        <f>SUM('7 CLIA'!$Z417:$Z432)</f>
        <v>0</v>
      </c>
      <c r="DE12" s="53" t="s">
        <v>26</v>
      </c>
      <c r="DF12" s="54" t="s">
        <v>27</v>
      </c>
      <c r="DG12" s="588">
        <f>COUNTA('8 IPIECA'!$R417:$R432)/5</f>
        <v>0</v>
      </c>
      <c r="DH12" s="579">
        <f>COUNTIF('8 IPIECA'!$V417:$V432,"In Progress")/5</f>
        <v>0</v>
      </c>
      <c r="DI12" s="580">
        <f>COUNTIF('8 IPIECA'!$V417:$V432,"completed")/5</f>
        <v>0</v>
      </c>
      <c r="DJ12" s="580">
        <f>COUNTIF('8 IPIECA'!$V417:$V432,"Not started")/5</f>
        <v>0</v>
      </c>
      <c r="DK12" s="580">
        <f>COUNTIF('8 IPIECA'!$X417:$X432,"technical")/5</f>
        <v>0</v>
      </c>
      <c r="DL12" s="580">
        <f>COUNTIF('8 IPIECA'!$X417:$X432,"training")/5</f>
        <v>0</v>
      </c>
      <c r="DM12" s="580">
        <f>COUNTIF('8 IPIECA'!$X417:$X432,"legal")/5</f>
        <v>0</v>
      </c>
      <c r="DN12" s="580">
        <f>COUNTIF('8 IPIECA'!$X417:$X432,"investment")/5</f>
        <v>0</v>
      </c>
      <c r="DO12" s="581">
        <f>SUM('8 IPIECA'!$Z417:$Z432)</f>
        <v>0</v>
      </c>
      <c r="DQ12" s="53" t="s">
        <v>26</v>
      </c>
      <c r="DR12" s="54" t="s">
        <v>27</v>
      </c>
      <c r="DS12" s="588">
        <f>COUNTA('9 Med Cruise'!$R417:$R432)/5</f>
        <v>0</v>
      </c>
      <c r="DT12" s="579">
        <f>COUNTIF('9 Med Cruise'!$V417:$V432,"In Progress")/5</f>
        <v>0</v>
      </c>
      <c r="DU12" s="580">
        <f>COUNTIF('9 Med Cruise'!$V417:$V432,"completed")/5</f>
        <v>0</v>
      </c>
      <c r="DV12" s="580">
        <f>COUNTIF('9 Med Cruise'!$V417:$V432,"Not started")/5</f>
        <v>0</v>
      </c>
      <c r="DW12" s="580">
        <f>COUNTIF('9 Med Cruise'!$X417:$X432,"technical")/5</f>
        <v>0</v>
      </c>
      <c r="DX12" s="580">
        <f>COUNTIF('9 Med Cruise'!$X417:$X432,"training")/5</f>
        <v>0</v>
      </c>
      <c r="DY12" s="580">
        <f>COUNTIF('9 Med Cruise'!$X417:$X432,"legal")/5</f>
        <v>0</v>
      </c>
      <c r="DZ12" s="580">
        <f>COUNTIF('9 Med Cruise'!$X417:$X432,"investment")/5</f>
        <v>0</v>
      </c>
      <c r="EA12" s="581">
        <f>SUM('9 Med Cruise'!$Z417:$Z432)</f>
        <v>0</v>
      </c>
      <c r="EC12" s="53" t="s">
        <v>26</v>
      </c>
      <c r="ED12" s="54" t="s">
        <v>27</v>
      </c>
      <c r="EE12" s="588">
        <f>COUNTA('12 West Med'!$R417:$R432)/5</f>
        <v>0.2</v>
      </c>
      <c r="EF12" s="579">
        <f>COUNTIF('12 West Med'!$V417:$V432,"In Progress")/5</f>
        <v>0</v>
      </c>
      <c r="EG12" s="580">
        <f>COUNTIF('12 West Med'!$V417:$V432,"completed")/5</f>
        <v>0</v>
      </c>
      <c r="EH12" s="580">
        <f>COUNTIF('12 West Med'!$V417:$V432,"Not started")/5</f>
        <v>0</v>
      </c>
      <c r="EI12" s="580">
        <f>COUNTIF('12 West Med'!$X417:$X432,"technical")/5</f>
        <v>0</v>
      </c>
      <c r="EJ12" s="580">
        <f>COUNTIF('12 West Med'!$X417:$X432,"training")/5</f>
        <v>0</v>
      </c>
      <c r="EK12" s="580">
        <f>COUNTIF('12 West Med'!$X417:$X432,"legal")/5</f>
        <v>0</v>
      </c>
      <c r="EL12" s="580">
        <f>COUNTIF('12 West Med'!$X417:$X432,"investment")/5</f>
        <v>0</v>
      </c>
      <c r="EM12" s="581">
        <f>SUM('12 West Med'!$Z417:$Z432)</f>
        <v>0</v>
      </c>
      <c r="EO12" s="53" t="s">
        <v>26</v>
      </c>
      <c r="EP12" s="54" t="s">
        <v>27</v>
      </c>
      <c r="EQ12" s="588">
        <f>COUNTA('13 OC'!$R417:$R432)/5</f>
        <v>0.6</v>
      </c>
      <c r="ER12" s="579">
        <f>COUNTIF('13 OC'!$V417:$V432,"In Progress")/5</f>
        <v>0</v>
      </c>
      <c r="ES12" s="580">
        <f>COUNTIF('13 OC'!$V417:$V432,"completed")/5</f>
        <v>0.4</v>
      </c>
      <c r="ET12" s="580">
        <f>COUNTIF('13 OC'!$V417:$V432,"Not started")/5</f>
        <v>0</v>
      </c>
      <c r="EU12" s="580">
        <f>COUNTIF('13 OC'!$X417:$X432,"technical")/5</f>
        <v>0</v>
      </c>
      <c r="EV12" s="580">
        <f>COUNTIF('13 OC'!$X417:$X432,"training")/5</f>
        <v>0</v>
      </c>
      <c r="EW12" s="580">
        <f>COUNTIF('13 OC'!$X417:$X432,"legal")/5</f>
        <v>0</v>
      </c>
      <c r="EX12" s="580">
        <f>COUNTIF('13 OC'!$X417:$X432,"investment")/5</f>
        <v>0</v>
      </c>
      <c r="EY12" s="581">
        <f>SUM('13 OC'!$Z417:$Z432)</f>
        <v>0</v>
      </c>
      <c r="FA12" s="53" t="s">
        <v>26</v>
      </c>
      <c r="FB12" s="54" t="s">
        <v>27</v>
      </c>
      <c r="FC12" s="588">
        <f>COUNTA('14 Sea Alarm'!$R417:$R432)/5</f>
        <v>0</v>
      </c>
      <c r="FD12" s="579">
        <f>COUNTIF('14 Sea Alarm'!$V417:$V432,"In Progress")/5</f>
        <v>0</v>
      </c>
      <c r="FE12" s="580">
        <f>COUNTIF('14 Sea Alarm'!$V417:$V432,"completed")/5</f>
        <v>0</v>
      </c>
      <c r="FF12" s="580">
        <f>COUNTIF('14 Sea Alarm'!$V417:$V432,"Not started")/5</f>
        <v>0</v>
      </c>
      <c r="FG12" s="580">
        <f>COUNTIF('14 Sea Alarm'!$X417:$X432,"technical")/5</f>
        <v>0</v>
      </c>
      <c r="FH12" s="580">
        <f>COUNTIF('14 Sea Alarm'!$X417:$X432,"training")/5</f>
        <v>0</v>
      </c>
      <c r="FI12" s="580">
        <f>COUNTIF('14 Sea Alarm'!$X417:$X432,"legal")/5</f>
        <v>0</v>
      </c>
      <c r="FJ12" s="580">
        <f>COUNTIF('14 Sea Alarm'!$X417:$X432,"investment")/5</f>
        <v>0</v>
      </c>
      <c r="FK12" s="581">
        <f>SUM('14 Sea Alarm'!$Z417:$Z432)</f>
        <v>0</v>
      </c>
      <c r="FM12" s="53" t="s">
        <v>26</v>
      </c>
      <c r="FN12" s="54" t="s">
        <v>27</v>
      </c>
      <c r="FO12" s="588">
        <f>COUNTA('15 ITOPF'!$R417:$R432)/5</f>
        <v>0</v>
      </c>
      <c r="FP12" s="579">
        <f>COUNTIF('15 ITOPF'!$V417:$V432,"In Progress")/5</f>
        <v>0</v>
      </c>
      <c r="FQ12" s="580">
        <f>COUNTIF('15 ITOPF'!$V417:$V432,"completed")/5</f>
        <v>0</v>
      </c>
      <c r="FR12" s="580">
        <f>COUNTIF('15 ITOPF'!$V417:$V432,"Not started")/5</f>
        <v>0</v>
      </c>
      <c r="FS12" s="580">
        <f>COUNTIF('15 ITOPF'!$X417:$X432,"technical")/5</f>
        <v>0</v>
      </c>
      <c r="FT12" s="580">
        <f>COUNTIF('15 ITOPF'!$X417:$X432,"training")/5</f>
        <v>0</v>
      </c>
      <c r="FU12" s="580">
        <f>COUNTIF('15 ITOPF'!$X417:$X432,"legal")/5</f>
        <v>0</v>
      </c>
      <c r="FV12" s="580">
        <f>COUNTIF('15 ITOPF'!$X417:$X432,"investment")/5</f>
        <v>0</v>
      </c>
      <c r="FW12" s="581">
        <f>SUM('15 ITOPF'!$Z417:$Z432)</f>
        <v>0</v>
      </c>
    </row>
    <row r="13" spans="1:179" s="59" customFormat="1" ht="31.5" customHeight="1" thickBot="1">
      <c r="A13" s="53" t="s">
        <v>3998</v>
      </c>
      <c r="B13" s="54"/>
      <c r="C13" s="588">
        <f>COUNTA('10 REMPEC'!$R3:$R433)/309</f>
        <v>0.56957928802588997</v>
      </c>
      <c r="D13" s="579">
        <f>COUNTIF('10 REMPEC'!$V3:$V432,"In Progress")/309</f>
        <v>0.25566343042071199</v>
      </c>
      <c r="E13" s="580">
        <f>COUNTIF('10 REMPEC'!$V3:$V432,"completed")/309</f>
        <v>0</v>
      </c>
      <c r="F13" s="580">
        <f>COUNTIF('10 REMPEC'!$V3:$V433,"Not started")/309</f>
        <v>0.27184466019417475</v>
      </c>
      <c r="G13" s="580">
        <f>COUNTIF('10 REMPEC'!$X3:$X433,"technical")/309</f>
        <v>0.23300970873786409</v>
      </c>
      <c r="H13" s="580">
        <f>COUNTIF('10 REMPEC'!$X3:$X433,"training")/309</f>
        <v>0.26860841423948217</v>
      </c>
      <c r="I13" s="580">
        <f>COUNTIF('10 REMPEC'!$X3:$X433,"legal")/309</f>
        <v>2.2653721682847898E-2</v>
      </c>
      <c r="J13" s="580">
        <f>COUNTIF('10 REMPEC'!$X3:$X433,"investment")/309</f>
        <v>0</v>
      </c>
      <c r="K13" s="581">
        <f>SUM('10 REMPEC'!$Z3:$Z433)</f>
        <v>5240816.5</v>
      </c>
      <c r="M13" s="53" t="s">
        <v>3998</v>
      </c>
      <c r="N13" s="54"/>
      <c r="O13" s="588">
        <f>COUNTA('11 EMSA'!$R3:$R433)/309</f>
        <v>0.23624595469255663</v>
      </c>
      <c r="P13" s="579">
        <f>COUNTIF('11 EMSA'!$V3:$V432,"In Progress")/309</f>
        <v>0.26213592233009708</v>
      </c>
      <c r="Q13" s="580">
        <f>COUNTIF('11 EMSA'!$V3:$V432,"completed")/309</f>
        <v>1.2944983818770227E-2</v>
      </c>
      <c r="R13" s="580">
        <f>COUNTIF('11 EMSA'!$V3:$V433,"Not started")/309</f>
        <v>1.9417475728155338E-2</v>
      </c>
      <c r="S13" s="580">
        <f>COUNTIF('11 EMSA'!$X3:$X433,"technical")/309</f>
        <v>0.17152103559870549</v>
      </c>
      <c r="T13" s="580">
        <f>COUNTIF('11 EMSA'!$X3:$X433,"training")/309</f>
        <v>4.5307443365695796E-2</v>
      </c>
      <c r="U13" s="580">
        <f>COUNTIF('11 EMSA'!$X3:$X433,"legal")/309</f>
        <v>0</v>
      </c>
      <c r="V13" s="580">
        <f>COUNTIF('11 EMSA'!$X3:$X433,"investment")/309</f>
        <v>0</v>
      </c>
      <c r="W13" s="581">
        <f>SUM('11 EMSA'!$Z3:$Z433)</f>
        <v>0</v>
      </c>
      <c r="Y13" s="53" t="s">
        <v>3998</v>
      </c>
      <c r="Z13" s="54"/>
      <c r="AA13" s="588">
        <f>COUNTA('5 CEDRE'!$R3:$R433)/309</f>
        <v>6.4724919093851127E-2</v>
      </c>
      <c r="AB13" s="579">
        <f>COUNTIF('5 CEDRE'!$V3:$V432,"In Progress")/309</f>
        <v>3.5598705501618123E-2</v>
      </c>
      <c r="AC13" s="580">
        <f>COUNTIF('5 CEDRE'!$V3:$V432,"completed")/309</f>
        <v>9.7087378640776691E-3</v>
      </c>
      <c r="AD13" s="580">
        <f>COUNTIF('5 CEDRE'!$V3:$V433,"Not started")/309</f>
        <v>1.9417475728155338E-2</v>
      </c>
      <c r="AE13" s="580">
        <f>COUNTIF('5 CEDRE'!$X3:$X433,"technical")/309</f>
        <v>3.5598705501618123E-2</v>
      </c>
      <c r="AF13" s="580">
        <f>COUNTIF('5 CEDRE'!$X3:$X433,"training")/309</f>
        <v>1.9417475728155338E-2</v>
      </c>
      <c r="AG13" s="580">
        <f>COUNTIF('5 CEDRE'!$X3:$X433,"legal")/309</f>
        <v>0</v>
      </c>
      <c r="AH13" s="580">
        <f>COUNTIF('5 CEDRE'!$X3:$X433,"investment")/309</f>
        <v>0</v>
      </c>
      <c r="AI13" s="581">
        <f>SUM('5 CEDRE'!$Z3:$Z433)</f>
        <v>0</v>
      </c>
      <c r="AK13" s="53" t="s">
        <v>3998</v>
      </c>
      <c r="AL13" s="54"/>
      <c r="AM13" s="588">
        <f>COUNTA('1 UfM'!$R3:$R433)/309</f>
        <v>5.8252427184466021E-2</v>
      </c>
      <c r="AN13" s="579">
        <f>COUNTIF('1 UfM'!$V3:$V432,"In Progress")/309</f>
        <v>3.5598705501618123E-2</v>
      </c>
      <c r="AO13" s="580">
        <f>COUNTIF('1 UfM'!$V3:$V432,"completed")/309</f>
        <v>0</v>
      </c>
      <c r="AP13" s="580">
        <f>COUNTIF('1 UfM'!$V3:$V433,"Not started")/309</f>
        <v>0</v>
      </c>
      <c r="AQ13" s="580">
        <f>COUNTIF('1 UfM'!$X3:$X433,"technical")/309</f>
        <v>2.9126213592233011E-2</v>
      </c>
      <c r="AR13" s="580">
        <f>COUNTIF('1 UfM'!$X3:$X433,"training")/309</f>
        <v>0</v>
      </c>
      <c r="AS13" s="580">
        <f>COUNTIF('1 UfM'!$X3:$X433,"legal")/309</f>
        <v>0</v>
      </c>
      <c r="AT13" s="580">
        <f>COUNTIF('1 UfM'!$X3:$X433,"investment")/309</f>
        <v>0</v>
      </c>
      <c r="AU13" s="581">
        <f>SUM('1 UfM'!$Z3:$Z433)</f>
        <v>0</v>
      </c>
      <c r="AW13" s="53" t="s">
        <v>3998</v>
      </c>
      <c r="AX13" s="54"/>
      <c r="AY13" s="588">
        <f>COUNTA('2 OSRL'!$R3:$R433)/309</f>
        <v>9.7087378640776691E-3</v>
      </c>
      <c r="AZ13" s="579">
        <f>COUNTIF('2 OSRL'!$V3:$V432,"In Progress")/309</f>
        <v>3.2362459546925568E-3</v>
      </c>
      <c r="BA13" s="580">
        <f>COUNTIF('2 OSRL'!$V3:$V432,"completed")/309</f>
        <v>0</v>
      </c>
      <c r="BB13" s="580">
        <f>COUNTIF('2 OSRL'!$V3:$V433,"Not started")/309</f>
        <v>6.4724919093851136E-3</v>
      </c>
      <c r="BC13" s="580">
        <f>COUNTIF('2 OSRL'!$X3:$X433,"technical")/309</f>
        <v>6.4724919093851136E-3</v>
      </c>
      <c r="BD13" s="580">
        <f>COUNTIF('2 OSRL'!$X3:$X433,"training")/309</f>
        <v>3.2362459546925568E-3</v>
      </c>
      <c r="BE13" s="580">
        <f>COUNTIF('2 OSRL'!$X3:$X433,"legal")/309</f>
        <v>0</v>
      </c>
      <c r="BF13" s="580">
        <f>COUNTIF('2 OSRL'!$X3:$X433,"investment")/309</f>
        <v>0</v>
      </c>
      <c r="BG13" s="581">
        <f>SUM('2 OSRL'!$Z3:$Z433)</f>
        <v>0</v>
      </c>
      <c r="BI13" s="53" t="s">
        <v>3998</v>
      </c>
      <c r="BJ13" s="54"/>
      <c r="BK13" s="588">
        <f>COUNTA('3 Federchimica'!$R3:$R433)/309</f>
        <v>6.4724919093851136E-3</v>
      </c>
      <c r="BL13" s="579">
        <f>COUNTIF('3 Federchimica'!$V3:$V432,"In Progress")/309</f>
        <v>3.2362459546925568E-3</v>
      </c>
      <c r="BM13" s="580">
        <f>COUNTIF('3 Federchimica'!$V3:$V432,"completed")/309</f>
        <v>0</v>
      </c>
      <c r="BN13" s="580">
        <f>COUNTIF('3 Federchimica'!$V3:$V433,"Not started")/309</f>
        <v>0</v>
      </c>
      <c r="BO13" s="580">
        <f>COUNTIF('3 Federchimica'!$X3:$X433,"technical")/309</f>
        <v>0</v>
      </c>
      <c r="BP13" s="580">
        <f>COUNTIF('3 Federchimica'!$X3:$X433,"training")/309</f>
        <v>0</v>
      </c>
      <c r="BQ13" s="580">
        <f>COUNTIF('3 Federchimica'!$X3:$X433,"legal")/309</f>
        <v>0</v>
      </c>
      <c r="BR13" s="580">
        <f>COUNTIF('3 Federchimica'!$X3:$X433,"investment")/309</f>
        <v>0</v>
      </c>
      <c r="BS13" s="581">
        <f>SUM('3 Federchimica'!$Z3:$Z433)</f>
        <v>0</v>
      </c>
      <c r="BU13" s="53" t="s">
        <v>3998</v>
      </c>
      <c r="BV13" s="54"/>
      <c r="BW13" s="588">
        <f>COUNTA('4 IOI'!$R3:$R433)/309</f>
        <v>6.4724919093851136E-3</v>
      </c>
      <c r="BX13" s="579">
        <f>COUNTIF('4 IOI'!$V3:$V432,"In Progress")/309</f>
        <v>6.4724919093851136E-3</v>
      </c>
      <c r="BY13" s="580">
        <f>COUNTIF('4 IOI'!$V3:$V432,"completed")/309</f>
        <v>0</v>
      </c>
      <c r="BZ13" s="580">
        <f>COUNTIF('4 IOI'!$V3:$V433,"Not started")/309</f>
        <v>0</v>
      </c>
      <c r="CA13" s="580">
        <f>COUNTIF('4 IOI'!$X3:$X433,"technical")/309</f>
        <v>0</v>
      </c>
      <c r="CB13" s="580">
        <f>COUNTIF('4 IOI'!$X3:$X433,"training")/309</f>
        <v>6.4724919093851136E-3</v>
      </c>
      <c r="CC13" s="580">
        <f>COUNTIF('4 IOI'!$X3:$X433,"legal")/309</f>
        <v>0</v>
      </c>
      <c r="CD13" s="580">
        <f>COUNTIF('4 IOI'!$X3:$X433,"investment")/309</f>
        <v>0</v>
      </c>
      <c r="CE13" s="581">
        <f>SUM('4 IOI'!$Z3:$Z433)</f>
        <v>0</v>
      </c>
      <c r="CG13" s="53" t="s">
        <v>3998</v>
      </c>
      <c r="CH13" s="54"/>
      <c r="CI13" s="588">
        <f>COUNTA('6 PAM'!$R3:$R433)/309</f>
        <v>6.4724919093851136E-3</v>
      </c>
      <c r="CJ13" s="579">
        <f>COUNTIF('6 PAM'!$V3:$V432,"In Progress")/309</f>
        <v>3.2362459546925568E-3</v>
      </c>
      <c r="CK13" s="580">
        <f>COUNTIF('6 PAM'!$V3:$V432,"completed")/309</f>
        <v>0</v>
      </c>
      <c r="CL13" s="580">
        <f>COUNTIF('6 PAM'!$V3:$V433,"Not started")/309</f>
        <v>3.2362459546925568E-3</v>
      </c>
      <c r="CM13" s="580">
        <f>COUNTIF('6 PAM'!$X3:$X433,"technical")/309</f>
        <v>0</v>
      </c>
      <c r="CN13" s="580">
        <f>COUNTIF('6 PAM'!$X3:$X433,"training")/309</f>
        <v>0</v>
      </c>
      <c r="CO13" s="580">
        <f>COUNTIF('6 PAM'!$X3:$X433,"legal")/309</f>
        <v>6.4724919093851136E-3</v>
      </c>
      <c r="CP13" s="580">
        <f>COUNTIF('6 PAM'!$X3:$X433,"investment")/309</f>
        <v>0</v>
      </c>
      <c r="CQ13" s="581">
        <f>SUM('6 PAM'!$Z3:$Z433)</f>
        <v>0</v>
      </c>
      <c r="CS13" s="53" t="s">
        <v>3998</v>
      </c>
      <c r="CT13" s="54"/>
      <c r="CU13" s="588">
        <f>COUNTA('7 CLIA'!$R3:$R433)/309</f>
        <v>4.2071197411003236E-2</v>
      </c>
      <c r="CV13" s="579">
        <f>COUNTIF('7 CLIA'!$V3:$V432,"In Progress")/309</f>
        <v>4.2071197411003236E-2</v>
      </c>
      <c r="CW13" s="580">
        <f>COUNTIF('7 CLIA'!$V3:$V432,"completed")/309</f>
        <v>0</v>
      </c>
      <c r="CX13" s="580">
        <f>COUNTIF('7 CLIA'!$V3:$V433,"Not started")/309</f>
        <v>0</v>
      </c>
      <c r="CY13" s="580">
        <f>COUNTIF('7 CLIA'!$X3:$X433,"technical")/309</f>
        <v>0</v>
      </c>
      <c r="CZ13" s="580">
        <f>COUNTIF('7 CLIA'!$X3:$X433,"training")/309</f>
        <v>0</v>
      </c>
      <c r="DA13" s="580">
        <f>COUNTIF('7 CLIA'!$X3:$X433,"legal")/309</f>
        <v>0</v>
      </c>
      <c r="DB13" s="580">
        <f>COUNTIF('7 CLIA'!$X3:$X433,"investment")/309</f>
        <v>0</v>
      </c>
      <c r="DC13" s="581">
        <f>SUM('7 CLIA'!$Z3:$Z433)</f>
        <v>0</v>
      </c>
      <c r="DE13" s="53" t="s">
        <v>3998</v>
      </c>
      <c r="DF13" s="54"/>
      <c r="DG13" s="588">
        <f>COUNTA('8 IPIECA'!$R3:$R433)/309</f>
        <v>5.5016181229773461E-2</v>
      </c>
      <c r="DH13" s="579">
        <f>COUNTIF('8 IPIECA'!$V3:$V432,"In Progress")/309</f>
        <v>4.2071197411003236E-2</v>
      </c>
      <c r="DI13" s="580">
        <f>COUNTIF('8 IPIECA'!$V3:$V432,"completed")/309</f>
        <v>0</v>
      </c>
      <c r="DJ13" s="580">
        <f>COUNTIF('8 IPIECA'!$V3:$V433,"Not started")/309</f>
        <v>9.7087378640776691E-3</v>
      </c>
      <c r="DK13" s="580">
        <f>COUNTIF('8 IPIECA'!$X3:$X433,"technical")/309</f>
        <v>0</v>
      </c>
      <c r="DL13" s="580">
        <f>COUNTIF('8 IPIECA'!$X3:$X433,"training")/309</f>
        <v>0</v>
      </c>
      <c r="DM13" s="580">
        <f>COUNTIF('8 IPIECA'!$X3:$X433,"legal")/309</f>
        <v>0</v>
      </c>
      <c r="DN13" s="580">
        <f>COUNTIF('8 IPIECA'!$X3:$X433,"investment")/309</f>
        <v>0</v>
      </c>
      <c r="DO13" s="581">
        <f>SUM('8 IPIECA'!$Z3:$Z433)</f>
        <v>0</v>
      </c>
      <c r="DQ13" s="53" t="s">
        <v>3998</v>
      </c>
      <c r="DR13" s="54"/>
      <c r="DS13" s="588">
        <f>COUNTA('9 Med Cruise'!$R3:$R433)/309</f>
        <v>9.7087378640776691E-3</v>
      </c>
      <c r="DT13" s="579">
        <f>COUNTIF('9 Med Cruise'!$V3:$V432,"In Progress")/309</f>
        <v>0</v>
      </c>
      <c r="DU13" s="580">
        <f>COUNTIF('9 Med Cruise'!$V3:$V432,"completed")/309</f>
        <v>0</v>
      </c>
      <c r="DV13" s="580">
        <f>COUNTIF('9 Med Cruise'!$V3:$V433,"Not started")/309</f>
        <v>0</v>
      </c>
      <c r="DW13" s="580">
        <f>COUNTIF('9 Med Cruise'!$X3:$X433,"technical")/309</f>
        <v>0</v>
      </c>
      <c r="DX13" s="580">
        <f>COUNTIF('9 Med Cruise'!$X3:$X433,"training")/309</f>
        <v>0</v>
      </c>
      <c r="DY13" s="580">
        <f>COUNTIF('9 Med Cruise'!$X3:$X433,"legal")/309</f>
        <v>0</v>
      </c>
      <c r="DZ13" s="580">
        <f>COUNTIF('9 Med Cruise'!$X3:$X433,"investment")/309</f>
        <v>0</v>
      </c>
      <c r="EA13" s="581">
        <f>SUM('9 Med Cruise'!$Z3:$Z433)</f>
        <v>0</v>
      </c>
      <c r="EC13" s="53" t="s">
        <v>3998</v>
      </c>
      <c r="ED13" s="54"/>
      <c r="EE13" s="588">
        <f>COUNTA('12 West Med'!$R3:$R433)/309</f>
        <v>0.12297734627831715</v>
      </c>
      <c r="EF13" s="579">
        <f>COUNTIF('12 West Med'!$V3:$V432,"In Progress")/309</f>
        <v>0</v>
      </c>
      <c r="EG13" s="580">
        <f>COUNTIF('12 West Med'!$V3:$V432,"completed")/309</f>
        <v>0</v>
      </c>
      <c r="EH13" s="580">
        <f>COUNTIF('12 West Med'!$V3:$V433,"Not started")/309</f>
        <v>0</v>
      </c>
      <c r="EI13" s="580">
        <f>COUNTIF('12 West Med'!$X3:$X433,"technical")/309</f>
        <v>0</v>
      </c>
      <c r="EJ13" s="580">
        <f>COUNTIF('12 West Med'!$X3:$X433,"training")/309</f>
        <v>0</v>
      </c>
      <c r="EK13" s="580">
        <f>COUNTIF('12 West Med'!$X3:$X433,"legal")/309</f>
        <v>0</v>
      </c>
      <c r="EL13" s="580">
        <f>COUNTIF('12 West Med'!$X3:$X433,"investment")/309</f>
        <v>0</v>
      </c>
      <c r="EM13" s="581">
        <f>SUM('12 West Med'!$Z3:$Z433)</f>
        <v>0</v>
      </c>
      <c r="EO13" s="53" t="s">
        <v>3998</v>
      </c>
      <c r="EP13" s="54"/>
      <c r="EQ13" s="588">
        <f>COUNTA('13 OC'!$R3:$R433)/309</f>
        <v>3.8834951456310676E-2</v>
      </c>
      <c r="ER13" s="579">
        <f>COUNTIF('13 OC'!$V3:$V432,"In Progress")/309</f>
        <v>1.9417475728155338E-2</v>
      </c>
      <c r="ES13" s="580">
        <f>COUNTIF('13 OC'!$V3:$V432,"completed")/309</f>
        <v>1.2944983818770227E-2</v>
      </c>
      <c r="ET13" s="580">
        <f>COUNTIF('13 OC'!$V3:$V433,"Not started")/309</f>
        <v>3.2362459546925568E-3</v>
      </c>
      <c r="EU13" s="580">
        <f>COUNTIF('13 OC'!$X3:$X433,"technical")/309</f>
        <v>2.5889967637540454E-2</v>
      </c>
      <c r="EV13" s="580">
        <f>COUNTIF('13 OC'!$X3:$X433,"training")/309</f>
        <v>3.2362459546925568E-3</v>
      </c>
      <c r="EW13" s="580">
        <f>COUNTIF('13 OC'!$X3:$X433,"legal")/309</f>
        <v>0</v>
      </c>
      <c r="EX13" s="580">
        <f>COUNTIF('13 OC'!$X3:$X433,"investment")/309</f>
        <v>0</v>
      </c>
      <c r="EY13" s="581">
        <f>SUM('13 OC'!$Z3:$Z433)</f>
        <v>0</v>
      </c>
      <c r="FA13" s="53" t="s">
        <v>3998</v>
      </c>
      <c r="FB13" s="54"/>
      <c r="FC13" s="588">
        <f>COUNTA('14 Sea Alarm'!$R3:$R433)/309</f>
        <v>9.7087378640776691E-3</v>
      </c>
      <c r="FD13" s="579">
        <f>COUNTIF('14 Sea Alarm'!$V3:$V432,"In Progress")/309</f>
        <v>6.4724919093851136E-3</v>
      </c>
      <c r="FE13" s="580">
        <f>COUNTIF('14 Sea Alarm'!$V3:$V432,"completed")/309</f>
        <v>0</v>
      </c>
      <c r="FF13" s="580">
        <f>COUNTIF('14 Sea Alarm'!$V3:$V433,"Not started")/309</f>
        <v>3.2362459546925568E-3</v>
      </c>
      <c r="FG13" s="580">
        <f>COUNTIF('14 Sea Alarm'!$X3:$X433,"technical")/309</f>
        <v>3.2362459546925568E-3</v>
      </c>
      <c r="FH13" s="580">
        <f>COUNTIF('14 Sea Alarm'!$X3:$X433,"training")/309</f>
        <v>6.4724919093851136E-3</v>
      </c>
      <c r="FI13" s="580">
        <f>COUNTIF('14 Sea Alarm'!$X3:$X433,"legal")/309</f>
        <v>0</v>
      </c>
      <c r="FJ13" s="580">
        <f>COUNTIF('14 Sea Alarm'!$X3:$X433,"investment")/309</f>
        <v>0</v>
      </c>
      <c r="FK13" s="581">
        <f>SUM('14 Sea Alarm'!$Z3:$Z433)</f>
        <v>0</v>
      </c>
      <c r="FM13" s="53" t="s">
        <v>3998</v>
      </c>
      <c r="FN13" s="54"/>
      <c r="FO13" s="588">
        <f>COUNTA('15 ITOPF'!$R3:$R433)/309</f>
        <v>3.2362459546925564E-2</v>
      </c>
      <c r="FP13" s="579">
        <f>COUNTIF('15 ITOPF'!$V3:$V432,"In Progress")/309</f>
        <v>3.2362459546925564E-2</v>
      </c>
      <c r="FQ13" s="580">
        <f>COUNTIF('15 ITOPF'!$V3:$V432,"completed")/309</f>
        <v>0</v>
      </c>
      <c r="FR13" s="580">
        <f>COUNTIF('15 ITOPF'!$V3:$V433,"Not started")/309</f>
        <v>0</v>
      </c>
      <c r="FS13" s="580">
        <f>COUNTIF('15 ITOPF'!$X3:$X433,"technical")/309</f>
        <v>9.7087378640776691E-3</v>
      </c>
      <c r="FT13" s="580">
        <f>COUNTIF('15 ITOPF'!$X3:$X433,"training")/309</f>
        <v>2.2653721682847898E-2</v>
      </c>
      <c r="FU13" s="580">
        <f>COUNTIF('15 ITOPF'!$X3:$X433,"legal")/309</f>
        <v>0</v>
      </c>
      <c r="FV13" s="580">
        <f>COUNTIF('15 ITOPF'!$X3:$X433,"investment")/309</f>
        <v>0</v>
      </c>
      <c r="FW13" s="581">
        <f>SUM('15 ITOPF'!$Z3:$Z433)</f>
        <v>172500</v>
      </c>
    </row>
    <row r="14" spans="1:179" s="59" customFormat="1"/>
    <row r="15" spans="1:179" s="59" customFormat="1" ht="19.5" customHeight="1"/>
    <row r="16" spans="1:179" s="59" customFormat="1" ht="19.5" customHeight="1"/>
    <row r="17" spans="1:16" s="59" customFormat="1"/>
    <row r="18" spans="1:16" s="59" customFormat="1" ht="15.75" thickBot="1">
      <c r="B18" s="598" t="s">
        <v>4050</v>
      </c>
    </row>
    <row r="19" spans="1:16" s="59" customFormat="1" ht="30.75" thickBot="1">
      <c r="A19" s="611" t="s">
        <v>4049</v>
      </c>
      <c r="B19" s="612" t="s">
        <v>4051</v>
      </c>
      <c r="C19" s="612" t="s">
        <v>1576</v>
      </c>
      <c r="D19" s="612" t="s">
        <v>1245</v>
      </c>
      <c r="E19" s="612" t="s">
        <v>4052</v>
      </c>
      <c r="F19" s="612" t="s">
        <v>4053</v>
      </c>
      <c r="G19" s="612" t="s">
        <v>4054</v>
      </c>
      <c r="H19" s="612" t="s">
        <v>4055</v>
      </c>
      <c r="I19" s="612" t="s">
        <v>4056</v>
      </c>
      <c r="J19" s="612" t="s">
        <v>4057</v>
      </c>
      <c r="K19" s="612" t="s">
        <v>4075</v>
      </c>
      <c r="L19" s="612" t="s">
        <v>4058</v>
      </c>
      <c r="M19" s="612" t="s">
        <v>4076</v>
      </c>
      <c r="N19" s="612" t="s">
        <v>4059</v>
      </c>
      <c r="O19" s="612" t="s">
        <v>1781</v>
      </c>
      <c r="P19" s="613" t="s">
        <v>4060</v>
      </c>
    </row>
    <row r="20" spans="1:16" s="59" customFormat="1" ht="15.75">
      <c r="A20" s="603" t="s">
        <v>14</v>
      </c>
      <c r="B20" s="604">
        <f>C6</f>
        <v>0.48888888888888887</v>
      </c>
      <c r="C20" s="604">
        <f>O6</f>
        <v>0.51111111111111107</v>
      </c>
      <c r="D20" s="604">
        <f>AA6</f>
        <v>0.17777777777777778</v>
      </c>
      <c r="E20" s="604">
        <f>AM6</f>
        <v>3.3333333333333333E-2</v>
      </c>
      <c r="F20" s="604">
        <f>AY6</f>
        <v>3.3333333333333333E-2</v>
      </c>
      <c r="G20" s="604">
        <f>BK6</f>
        <v>0</v>
      </c>
      <c r="H20" s="604">
        <f>BW6</f>
        <v>0</v>
      </c>
      <c r="I20" s="604">
        <f>CI6</f>
        <v>0</v>
      </c>
      <c r="J20" s="604">
        <f>CU6</f>
        <v>7.7777777777777779E-2</v>
      </c>
      <c r="K20" s="604">
        <f>DG6</f>
        <v>5.5555555555555552E-2</v>
      </c>
      <c r="L20" s="604">
        <f>DS6</f>
        <v>0</v>
      </c>
      <c r="M20" s="604">
        <f>EE6</f>
        <v>4.4444444444444446E-2</v>
      </c>
      <c r="N20" s="604">
        <f>EQ6</f>
        <v>0</v>
      </c>
      <c r="O20" s="604">
        <f>FC6</f>
        <v>3.3333333333333333E-2</v>
      </c>
      <c r="P20" s="605">
        <f>FO6</f>
        <v>0.1111111111111111</v>
      </c>
    </row>
    <row r="21" spans="1:16" s="59" customFormat="1" ht="15.75">
      <c r="A21" s="606" t="s">
        <v>16</v>
      </c>
      <c r="B21" s="599">
        <f t="shared" ref="B21:B27" si="0">C7</f>
        <v>0.75510204081632648</v>
      </c>
      <c r="C21" s="599">
        <f t="shared" ref="C21:C27" si="1">O7</f>
        <v>0.22448979591836735</v>
      </c>
      <c r="D21" s="599">
        <f t="shared" ref="D21:D27" si="2">AA7</f>
        <v>0</v>
      </c>
      <c r="E21" s="599">
        <f t="shared" ref="E21:E27" si="3">AM7</f>
        <v>4.0816326530612242E-2</v>
      </c>
      <c r="F21" s="599">
        <f t="shared" ref="F21:F27" si="4">AY7</f>
        <v>0</v>
      </c>
      <c r="G21" s="599">
        <f t="shared" ref="G21:G27" si="5">BK7</f>
        <v>0</v>
      </c>
      <c r="H21" s="599">
        <f t="shared" ref="H21:H27" si="6">BW7</f>
        <v>0</v>
      </c>
      <c r="I21" s="599">
        <f t="shared" ref="I21:I27" si="7">CI7</f>
        <v>2.0408163265306121E-2</v>
      </c>
      <c r="J21" s="599">
        <f t="shared" ref="J21:J27" si="8">CU7</f>
        <v>8.1632653061224483E-2</v>
      </c>
      <c r="K21" s="599">
        <f t="shared" ref="K21:K27" si="9">DG7</f>
        <v>6.1224489795918366E-2</v>
      </c>
      <c r="L21" s="599">
        <f t="shared" ref="L21:L27" si="10">DS7</f>
        <v>6.1224489795918366E-2</v>
      </c>
      <c r="M21" s="599">
        <f t="shared" ref="M21:M27" si="11">EE7</f>
        <v>0.2857142857142857</v>
      </c>
      <c r="N21" s="599">
        <f t="shared" ref="N21:N27" si="12">EQ7</f>
        <v>0</v>
      </c>
      <c r="O21" s="599">
        <f t="shared" ref="O21:O27" si="13">FC7</f>
        <v>0</v>
      </c>
      <c r="P21" s="607">
        <f t="shared" ref="P21:P27" si="14">FO7</f>
        <v>0</v>
      </c>
    </row>
    <row r="22" spans="1:16" s="59" customFormat="1" ht="15.75">
      <c r="A22" s="606" t="s">
        <v>18</v>
      </c>
      <c r="B22" s="599">
        <f t="shared" si="0"/>
        <v>0.64864864864864868</v>
      </c>
      <c r="C22" s="599">
        <f t="shared" si="1"/>
        <v>0.24324324324324326</v>
      </c>
      <c r="D22" s="599">
        <f t="shared" si="2"/>
        <v>0</v>
      </c>
      <c r="E22" s="599">
        <f t="shared" si="3"/>
        <v>5.4054054054054057E-2</v>
      </c>
      <c r="F22" s="599">
        <f t="shared" si="4"/>
        <v>0</v>
      </c>
      <c r="G22" s="599">
        <f t="shared" si="5"/>
        <v>2.7027027027027029E-2</v>
      </c>
      <c r="H22" s="599">
        <f t="shared" si="6"/>
        <v>2.7027027027027029E-2</v>
      </c>
      <c r="I22" s="599">
        <f t="shared" si="7"/>
        <v>0</v>
      </c>
      <c r="J22" s="599">
        <f t="shared" si="8"/>
        <v>0</v>
      </c>
      <c r="K22" s="599">
        <f t="shared" si="9"/>
        <v>8.1081081081081086E-2</v>
      </c>
      <c r="L22" s="599">
        <f t="shared" si="10"/>
        <v>0</v>
      </c>
      <c r="M22" s="599">
        <f t="shared" si="11"/>
        <v>0.16216216216216217</v>
      </c>
      <c r="N22" s="599">
        <f t="shared" si="12"/>
        <v>0</v>
      </c>
      <c r="O22" s="599">
        <f t="shared" si="13"/>
        <v>0</v>
      </c>
      <c r="P22" s="607">
        <f t="shared" si="14"/>
        <v>0</v>
      </c>
    </row>
    <row r="23" spans="1:16" s="59" customFormat="1" ht="15.75">
      <c r="A23" s="606" t="s">
        <v>20</v>
      </c>
      <c r="B23" s="599">
        <f t="shared" si="0"/>
        <v>0.41509433962264153</v>
      </c>
      <c r="C23" s="599">
        <f t="shared" si="1"/>
        <v>5.6603773584905662E-2</v>
      </c>
      <c r="D23" s="599">
        <f t="shared" si="2"/>
        <v>7.5471698113207544E-2</v>
      </c>
      <c r="E23" s="599">
        <f t="shared" si="3"/>
        <v>0.18867924528301888</v>
      </c>
      <c r="F23" s="599">
        <f t="shared" si="4"/>
        <v>0</v>
      </c>
      <c r="G23" s="599">
        <f t="shared" si="5"/>
        <v>1.8867924528301886E-2</v>
      </c>
      <c r="H23" s="599">
        <f t="shared" si="6"/>
        <v>1.8867924528301886E-2</v>
      </c>
      <c r="I23" s="599">
        <f t="shared" si="7"/>
        <v>1.8867924528301886E-2</v>
      </c>
      <c r="J23" s="599">
        <f t="shared" si="8"/>
        <v>1.8867924528301886E-2</v>
      </c>
      <c r="K23" s="599">
        <f t="shared" si="9"/>
        <v>1.8867924528301886E-2</v>
      </c>
      <c r="L23" s="599">
        <f t="shared" si="10"/>
        <v>0</v>
      </c>
      <c r="M23" s="599">
        <f t="shared" si="11"/>
        <v>0.16981132075471697</v>
      </c>
      <c r="N23" s="599">
        <f t="shared" si="12"/>
        <v>0.16981132075471697</v>
      </c>
      <c r="O23" s="599">
        <f t="shared" si="13"/>
        <v>0</v>
      </c>
      <c r="P23" s="607">
        <f t="shared" si="14"/>
        <v>0</v>
      </c>
    </row>
    <row r="24" spans="1:16" s="59" customFormat="1" ht="15.75">
      <c r="A24" s="606" t="s">
        <v>22</v>
      </c>
      <c r="B24" s="599">
        <f t="shared" si="0"/>
        <v>0.75471698113207553</v>
      </c>
      <c r="C24" s="599">
        <f t="shared" si="1"/>
        <v>5.6603773584905662E-2</v>
      </c>
      <c r="D24" s="599">
        <f t="shared" si="2"/>
        <v>0</v>
      </c>
      <c r="E24" s="599">
        <f t="shared" si="3"/>
        <v>0</v>
      </c>
      <c r="F24" s="599">
        <f t="shared" si="4"/>
        <v>0</v>
      </c>
      <c r="G24" s="599">
        <f t="shared" si="5"/>
        <v>0</v>
      </c>
      <c r="H24" s="599">
        <f t="shared" si="6"/>
        <v>0</v>
      </c>
      <c r="I24" s="599">
        <f t="shared" si="7"/>
        <v>0</v>
      </c>
      <c r="J24" s="599">
        <f t="shared" si="8"/>
        <v>1.8867924528301886E-2</v>
      </c>
      <c r="K24" s="599">
        <f t="shared" si="9"/>
        <v>5.6603773584905662E-2</v>
      </c>
      <c r="L24" s="599">
        <f t="shared" si="10"/>
        <v>0</v>
      </c>
      <c r="M24" s="599">
        <f t="shared" si="11"/>
        <v>5.6603773584905662E-2</v>
      </c>
      <c r="N24" s="599">
        <f t="shared" si="12"/>
        <v>0</v>
      </c>
      <c r="O24" s="599">
        <f t="shared" si="13"/>
        <v>0</v>
      </c>
      <c r="P24" s="607">
        <f t="shared" si="14"/>
        <v>0</v>
      </c>
    </row>
    <row r="25" spans="1:16" s="59" customFormat="1" ht="15.75">
      <c r="A25" s="606" t="s">
        <v>24</v>
      </c>
      <c r="B25" s="599">
        <f t="shared" si="0"/>
        <v>0.31818181818181818</v>
      </c>
      <c r="C25" s="599">
        <f t="shared" si="1"/>
        <v>4.5454545454545456E-2</v>
      </c>
      <c r="D25" s="599">
        <f t="shared" si="2"/>
        <v>0</v>
      </c>
      <c r="E25" s="599">
        <f t="shared" si="3"/>
        <v>4.5454545454545456E-2</v>
      </c>
      <c r="F25" s="599">
        <f t="shared" si="4"/>
        <v>0</v>
      </c>
      <c r="G25" s="599">
        <f t="shared" si="5"/>
        <v>0</v>
      </c>
      <c r="H25" s="599">
        <f t="shared" si="6"/>
        <v>0</v>
      </c>
      <c r="I25" s="599">
        <f t="shared" si="7"/>
        <v>0</v>
      </c>
      <c r="J25" s="599">
        <f t="shared" si="8"/>
        <v>0</v>
      </c>
      <c r="K25" s="599">
        <f t="shared" si="9"/>
        <v>9.0909090909090912E-2</v>
      </c>
      <c r="L25" s="599">
        <f t="shared" si="10"/>
        <v>0</v>
      </c>
      <c r="M25" s="599">
        <f t="shared" si="11"/>
        <v>4.5454545454545456E-2</v>
      </c>
      <c r="N25" s="599">
        <f t="shared" si="12"/>
        <v>0</v>
      </c>
      <c r="O25" s="599">
        <f t="shared" si="13"/>
        <v>0</v>
      </c>
      <c r="P25" s="607">
        <f t="shared" si="14"/>
        <v>0</v>
      </c>
    </row>
    <row r="26" spans="1:16" s="59" customFormat="1" ht="16.5" thickBot="1">
      <c r="A26" s="608" t="s">
        <v>26</v>
      </c>
      <c r="B26" s="609">
        <f t="shared" si="0"/>
        <v>0.4</v>
      </c>
      <c r="C26" s="609">
        <f t="shared" si="1"/>
        <v>0</v>
      </c>
      <c r="D26" s="609">
        <f t="shared" si="2"/>
        <v>0</v>
      </c>
      <c r="E26" s="609">
        <f t="shared" si="3"/>
        <v>0</v>
      </c>
      <c r="F26" s="609">
        <f t="shared" si="4"/>
        <v>0</v>
      </c>
      <c r="G26" s="609">
        <f t="shared" si="5"/>
        <v>0</v>
      </c>
      <c r="H26" s="609">
        <f t="shared" si="6"/>
        <v>0</v>
      </c>
      <c r="I26" s="609">
        <f t="shared" si="7"/>
        <v>0</v>
      </c>
      <c r="J26" s="609">
        <f t="shared" si="8"/>
        <v>0</v>
      </c>
      <c r="K26" s="609">
        <f t="shared" si="9"/>
        <v>0</v>
      </c>
      <c r="L26" s="609">
        <f t="shared" si="10"/>
        <v>0</v>
      </c>
      <c r="M26" s="609">
        <f t="shared" si="11"/>
        <v>0.2</v>
      </c>
      <c r="N26" s="609">
        <f t="shared" si="12"/>
        <v>0.6</v>
      </c>
      <c r="O26" s="609">
        <f t="shared" si="13"/>
        <v>0</v>
      </c>
      <c r="P26" s="610">
        <f t="shared" si="14"/>
        <v>0</v>
      </c>
    </row>
    <row r="27" spans="1:16" s="59" customFormat="1" ht="16.5" thickBot="1">
      <c r="A27" s="600" t="s">
        <v>3998</v>
      </c>
      <c r="B27" s="601">
        <f t="shared" si="0"/>
        <v>0.56957928802588997</v>
      </c>
      <c r="C27" s="601">
        <f t="shared" si="1"/>
        <v>0.23624595469255663</v>
      </c>
      <c r="D27" s="601">
        <f t="shared" si="2"/>
        <v>6.4724919093851127E-2</v>
      </c>
      <c r="E27" s="601">
        <f t="shared" si="3"/>
        <v>5.8252427184466021E-2</v>
      </c>
      <c r="F27" s="601">
        <f t="shared" si="4"/>
        <v>9.7087378640776691E-3</v>
      </c>
      <c r="G27" s="601">
        <f t="shared" si="5"/>
        <v>6.4724919093851136E-3</v>
      </c>
      <c r="H27" s="601">
        <f t="shared" si="6"/>
        <v>6.4724919093851136E-3</v>
      </c>
      <c r="I27" s="601">
        <f t="shared" si="7"/>
        <v>6.4724919093851136E-3</v>
      </c>
      <c r="J27" s="601">
        <f t="shared" si="8"/>
        <v>4.2071197411003236E-2</v>
      </c>
      <c r="K27" s="601">
        <f t="shared" si="9"/>
        <v>5.5016181229773461E-2</v>
      </c>
      <c r="L27" s="601">
        <f t="shared" si="10"/>
        <v>9.7087378640776691E-3</v>
      </c>
      <c r="M27" s="601">
        <f t="shared" si="11"/>
        <v>0.12297734627831715</v>
      </c>
      <c r="N27" s="601">
        <f t="shared" si="12"/>
        <v>3.8834951456310676E-2</v>
      </c>
      <c r="O27" s="601">
        <f t="shared" si="13"/>
        <v>9.7087378640776691E-3</v>
      </c>
      <c r="P27" s="602">
        <f t="shared" si="14"/>
        <v>3.2362459546925564E-2</v>
      </c>
    </row>
    <row r="28" spans="1:16" s="59" customFormat="1"/>
    <row r="29" spans="1:16" s="59" customFormat="1">
      <c r="B29" s="4" t="s">
        <v>4071</v>
      </c>
    </row>
    <row r="30" spans="1:16" s="59" customFormat="1">
      <c r="A30" s="619"/>
      <c r="B30" s="619" t="s">
        <v>9</v>
      </c>
      <c r="C30" s="619" t="s">
        <v>10</v>
      </c>
      <c r="D30" s="619" t="s">
        <v>11</v>
      </c>
      <c r="E30" s="619" t="s">
        <v>12</v>
      </c>
    </row>
    <row r="31" spans="1:16" s="59" customFormat="1" ht="15.75">
      <c r="A31" s="620" t="s">
        <v>14</v>
      </c>
      <c r="B31" s="621">
        <f>SUM(G6,S6,AE6,AQ6,BC6,BO6,CA6,CM6,CY6,DK6,DW6,EI6,EU6,FG6,FS6)*90</f>
        <v>81</v>
      </c>
      <c r="C31" s="621">
        <f t="shared" ref="C31:E31" si="15">SUM(H6,T6,AF6,AR6,BD6,BP6,CB6,CN6,CZ6,DL6,DX6,EJ6,EV6,FH6,FT6)*90</f>
        <v>38</v>
      </c>
      <c r="D31" s="621">
        <f t="shared" si="15"/>
        <v>4</v>
      </c>
      <c r="E31" s="621">
        <f t="shared" si="15"/>
        <v>0</v>
      </c>
    </row>
    <row r="32" spans="1:16" s="59" customFormat="1" ht="15.75">
      <c r="A32" s="620" t="s">
        <v>16</v>
      </c>
      <c r="B32" s="621">
        <f>SUM(G7,S7,AE7,AQ7,BC7,BO7,CA7,CM7,CY7,DK7,DW7,EI7,EU7,FG7,FS7)*49</f>
        <v>24</v>
      </c>
      <c r="C32" s="621">
        <f t="shared" ref="C32:E32" si="16">SUM(H7,T7,AF7,AR7,BD7,BP7,CB7,CN7,CZ7,DL7,DX7,EJ7,EV7,FH7,FT7)*49</f>
        <v>30</v>
      </c>
      <c r="D32" s="621">
        <f t="shared" si="16"/>
        <v>3</v>
      </c>
      <c r="E32" s="621">
        <f t="shared" si="16"/>
        <v>0</v>
      </c>
    </row>
    <row r="33" spans="1:5" s="59" customFormat="1" ht="15.75">
      <c r="A33" s="620" t="s">
        <v>18</v>
      </c>
      <c r="B33" s="621">
        <f>SUM(G8,S8,AE8,AQ8,BC8,BO8,CA8,CM8,CY8,DK8,DW8,EI8,EU8,FG8,FS8)*37</f>
        <v>7</v>
      </c>
      <c r="C33" s="621">
        <f t="shared" ref="C33:E33" si="17">SUM(H8,T8,AF8,AR8,BD8,BP8,CB8,CN8,CZ8,DL8,DX8,EJ8,EV8,FH8,FT8)*37</f>
        <v>17</v>
      </c>
      <c r="D33" s="621">
        <f t="shared" si="17"/>
        <v>1</v>
      </c>
      <c r="E33" s="621">
        <f t="shared" si="17"/>
        <v>0</v>
      </c>
    </row>
    <row r="34" spans="1:5" s="59" customFormat="1" ht="15.75">
      <c r="A34" s="620" t="s">
        <v>20</v>
      </c>
      <c r="B34" s="621">
        <f>SUM(G9,S9,AE9,AQ9,BC9,BO9,CA9,CM9,CY9,DK9,DW9,EI9,EU9,FG9,FS9)*53</f>
        <v>32</v>
      </c>
      <c r="C34" s="621">
        <f t="shared" ref="C34:E34" si="18">SUM(H9,T9,AF9,AR9,BD9,BP9,CB9,CN9,CZ9,DL9,DX9,EJ9,EV9,FH9,FT9)*53</f>
        <v>2</v>
      </c>
      <c r="D34" s="621">
        <f t="shared" si="18"/>
        <v>1</v>
      </c>
      <c r="E34" s="621">
        <f t="shared" si="18"/>
        <v>0</v>
      </c>
    </row>
    <row r="35" spans="1:5" s="59" customFormat="1" ht="15.75">
      <c r="A35" s="620" t="s">
        <v>22</v>
      </c>
      <c r="B35" s="621">
        <f>SUM(G10,S10,AE10,AQ10,BC10,BO10,CA10,CM10,CY10,DK10,DW10,EI10,EU10,FG10,FS10)*53</f>
        <v>10</v>
      </c>
      <c r="C35" s="621">
        <f>SUM(H10,T10,AF10,AR10,BD10,BP10,CB10,CN10,CZ10,DL10,DX10,EJ10,EV10,FH10,FT10)*53</f>
        <v>29</v>
      </c>
      <c r="D35" s="621">
        <f t="shared" ref="D35:E35" si="19">SUM(I10,U10,AG10,AS10,BE10,BQ10,CC10,CO10,DA10,DM10,DY10,EK10,EW10,FI10,FU10)*53</f>
        <v>0</v>
      </c>
      <c r="E35" s="621">
        <f t="shared" si="19"/>
        <v>0</v>
      </c>
    </row>
    <row r="36" spans="1:5" s="59" customFormat="1" ht="15.75">
      <c r="A36" s="620" t="s">
        <v>24</v>
      </c>
      <c r="B36" s="621">
        <f>SUM(G11,S11,AE11,AQ11,BC11,BO11,CA11,CM11,CY11,DK11,DW11,EI11,EU11,FG11,FS11)*53</f>
        <v>7.2272727272727266</v>
      </c>
      <c r="C36" s="621">
        <f t="shared" ref="C36:E36" si="20">SUM(H11,T11,AF11,AR11,BD11,BP11,CB11,CN11,CZ11,DL11,DX11,EJ11,EV11,FH11,FT11)*53</f>
        <v>0</v>
      </c>
      <c r="D36" s="621">
        <f t="shared" si="20"/>
        <v>0</v>
      </c>
      <c r="E36" s="621">
        <f t="shared" si="20"/>
        <v>0</v>
      </c>
    </row>
    <row r="37" spans="1:5" s="59" customFormat="1" ht="15.75">
      <c r="A37" s="620" t="s">
        <v>26</v>
      </c>
      <c r="B37" s="621">
        <f>SUM(G12,S12,AE12,AQ12,BC12,BO12,CA12,CM12,CY12,DK12,DW12,EI12,EU12,FG12,FS12)*22</f>
        <v>8.8000000000000007</v>
      </c>
      <c r="C37" s="621">
        <f t="shared" ref="C37:E37" si="21">SUM(H12,T12,AF12,AR12,BD12,BP12,CB12,CN12,CZ12,DL12,DX12,EJ12,EV12,FH12,FT12)*22</f>
        <v>0</v>
      </c>
      <c r="D37" s="621">
        <f t="shared" si="21"/>
        <v>0</v>
      </c>
      <c r="E37" s="621">
        <f t="shared" si="21"/>
        <v>0</v>
      </c>
    </row>
    <row r="38" spans="1:5" s="59" customFormat="1">
      <c r="A38" s="622" t="s">
        <v>4069</v>
      </c>
      <c r="B38" s="621">
        <f>SUM(G13,S13,AE13,AQ13,BC13,BO13,CA13,CM13,CY13,DK13,DW13,EI13,EU13,FG13,FS13)*309</f>
        <v>158.99999999999997</v>
      </c>
      <c r="C38" s="621">
        <f t="shared" ref="C38:E38" si="22">SUM(H13,T13,AF13,AR13,BD13,BP13,CB13,CN13,CZ13,DL13,DX13,EJ13,EV13,FH13,FT13)*309</f>
        <v>116</v>
      </c>
      <c r="D38" s="621">
        <f t="shared" si="22"/>
        <v>9</v>
      </c>
      <c r="E38" s="621">
        <f t="shared" si="22"/>
        <v>0</v>
      </c>
    </row>
    <row r="39" spans="1:5" s="59" customFormat="1"/>
    <row r="40" spans="1:5" s="59" customFormat="1"/>
    <row r="41" spans="1:5" s="59" customFormat="1"/>
    <row r="42" spans="1:5" s="59" customFormat="1"/>
    <row r="43" spans="1:5" s="59" customFormat="1"/>
    <row r="44" spans="1:5" s="59" customFormat="1"/>
    <row r="45" spans="1:5" s="59" customFormat="1"/>
    <row r="46" spans="1:5" s="59" customFormat="1"/>
    <row r="47" spans="1:5" s="59" customFormat="1"/>
    <row r="48" spans="1:5" s="59" customFormat="1"/>
    <row r="49" s="59" customFormat="1"/>
    <row r="50" s="59" customFormat="1"/>
    <row r="51" s="59" customFormat="1"/>
    <row r="52" s="59" customFormat="1"/>
    <row r="53" s="59" customFormat="1"/>
    <row r="54" s="59" customFormat="1"/>
    <row r="55" s="59" customFormat="1"/>
    <row r="56" s="59" customFormat="1"/>
    <row r="57" s="59" customFormat="1"/>
    <row r="58" s="59" customFormat="1"/>
    <row r="59" s="59" customFormat="1"/>
    <row r="60" s="59" customFormat="1"/>
    <row r="61" s="59" customFormat="1"/>
    <row r="62" s="59" customFormat="1"/>
    <row r="63" s="59" customFormat="1"/>
    <row r="64" s="59" customFormat="1"/>
    <row r="65" s="59" customFormat="1"/>
    <row r="66" s="59" customFormat="1"/>
    <row r="67" s="59" customFormat="1"/>
    <row r="68" s="59" customFormat="1"/>
    <row r="69" s="59" customFormat="1"/>
    <row r="70" s="59" customFormat="1"/>
    <row r="71" s="59" customFormat="1"/>
    <row r="72" s="59" customFormat="1"/>
    <row r="73" s="59" customFormat="1"/>
    <row r="74" s="59" customFormat="1"/>
    <row r="75" s="59" customFormat="1"/>
    <row r="76" s="59" customFormat="1"/>
    <row r="77" s="59" customFormat="1"/>
    <row r="78" s="59" customFormat="1"/>
    <row r="79" s="59" customFormat="1"/>
    <row r="80" s="59" customFormat="1"/>
    <row r="81" s="59" customFormat="1"/>
    <row r="82" s="59" customFormat="1"/>
    <row r="83" s="59" customFormat="1"/>
    <row r="84" s="59" customFormat="1"/>
    <row r="85" s="59" customFormat="1"/>
    <row r="86" s="59" customFormat="1"/>
    <row r="87" s="59" customFormat="1"/>
    <row r="88" s="59" customFormat="1"/>
    <row r="89" s="59" customFormat="1"/>
    <row r="90" s="59" customFormat="1"/>
    <row r="91" s="59" customFormat="1"/>
    <row r="92" s="59" customFormat="1"/>
    <row r="93" s="59" customFormat="1"/>
    <row r="94" s="59" customFormat="1"/>
    <row r="95" s="59" customFormat="1"/>
    <row r="96" s="59" customFormat="1"/>
    <row r="97" s="59" customFormat="1"/>
    <row r="98" s="59" customFormat="1"/>
    <row r="99" s="59" customFormat="1"/>
    <row r="100" s="59" customFormat="1"/>
    <row r="101" s="59" customFormat="1"/>
    <row r="102" s="59" customFormat="1"/>
    <row r="103" s="59" customFormat="1"/>
    <row r="104" s="59" customFormat="1"/>
    <row r="105" s="59" customFormat="1"/>
    <row r="106" s="59" customFormat="1"/>
    <row r="107" s="59" customFormat="1"/>
    <row r="108" s="59" customFormat="1"/>
    <row r="109" s="59" customFormat="1"/>
    <row r="110" s="59" customFormat="1"/>
    <row r="111" s="59" customFormat="1"/>
    <row r="112" s="59" customFormat="1"/>
    <row r="113" spans="1:67" s="59" customFormat="1"/>
    <row r="114" spans="1:67" s="59" customFormat="1"/>
    <row r="115" spans="1:67" s="59" customFormat="1"/>
    <row r="116" spans="1:67" s="59" customFormat="1"/>
    <row r="117" spans="1:67" s="59" customFormat="1"/>
    <row r="118" spans="1:67" s="59" customFormat="1"/>
    <row r="119" spans="1:67" s="59" customFormat="1">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row>
    <row r="120" spans="1:67">
      <c r="A120" s="50"/>
      <c r="B120" s="50"/>
      <c r="C120" s="50"/>
      <c r="D120" s="50"/>
      <c r="E120" s="50"/>
      <c r="F120" s="50"/>
      <c r="G120" s="50"/>
      <c r="H120" s="50"/>
      <c r="I120" s="50"/>
      <c r="J120" s="50"/>
      <c r="K120" s="50"/>
      <c r="L120" s="50"/>
    </row>
    <row r="121" spans="1:67">
      <c r="A121" s="50"/>
      <c r="B121" s="50"/>
      <c r="C121" s="50"/>
      <c r="D121" s="50"/>
      <c r="E121" s="50"/>
      <c r="F121" s="50"/>
      <c r="G121" s="50"/>
      <c r="H121" s="50"/>
      <c r="I121" s="50"/>
      <c r="J121" s="50"/>
      <c r="K121" s="50"/>
      <c r="L121" s="50"/>
    </row>
    <row r="122" spans="1:67">
      <c r="A122" s="50"/>
      <c r="B122" s="50"/>
      <c r="C122" s="50"/>
      <c r="D122" s="50"/>
      <c r="E122" s="50"/>
      <c r="F122" s="50"/>
      <c r="G122" s="50"/>
      <c r="H122" s="50"/>
      <c r="I122" s="50"/>
      <c r="J122" s="50"/>
      <c r="K122" s="50"/>
      <c r="L122" s="50"/>
    </row>
    <row r="123" spans="1:67">
      <c r="A123" s="50"/>
      <c r="B123" s="50"/>
      <c r="C123" s="50"/>
      <c r="D123" s="50"/>
      <c r="E123" s="50"/>
      <c r="F123" s="50"/>
      <c r="G123" s="50"/>
      <c r="H123" s="50"/>
      <c r="I123" s="50"/>
      <c r="J123" s="50"/>
      <c r="K123" s="50"/>
      <c r="L123" s="50"/>
    </row>
    <row r="124" spans="1:67">
      <c r="A124" s="50"/>
      <c r="B124" s="50"/>
      <c r="C124" s="50"/>
      <c r="D124" s="50"/>
      <c r="E124" s="50"/>
      <c r="F124" s="50"/>
      <c r="G124" s="50"/>
      <c r="H124" s="50"/>
      <c r="I124" s="50"/>
      <c r="J124" s="50"/>
      <c r="K124" s="50"/>
      <c r="L124" s="50"/>
    </row>
    <row r="125" spans="1:67">
      <c r="A125" s="50"/>
      <c r="B125" s="50"/>
      <c r="C125" s="50"/>
      <c r="D125" s="50"/>
      <c r="E125" s="50"/>
      <c r="F125" s="50"/>
      <c r="G125" s="50"/>
      <c r="H125" s="50"/>
      <c r="I125" s="50"/>
      <c r="J125" s="50"/>
      <c r="K125" s="50"/>
      <c r="L125" s="50"/>
    </row>
    <row r="126" spans="1:67">
      <c r="A126" s="50"/>
      <c r="B126" s="50"/>
      <c r="C126" s="50"/>
      <c r="D126" s="50"/>
      <c r="E126" s="50"/>
      <c r="F126" s="50"/>
      <c r="G126" s="50"/>
      <c r="H126" s="50"/>
      <c r="I126" s="50"/>
      <c r="J126" s="50"/>
      <c r="K126" s="50"/>
      <c r="L126" s="50"/>
    </row>
    <row r="127" spans="1:67">
      <c r="A127" s="50"/>
      <c r="B127" s="50"/>
      <c r="C127" s="50"/>
      <c r="D127" s="50"/>
      <c r="E127" s="50"/>
      <c r="F127" s="50"/>
      <c r="G127" s="50"/>
      <c r="H127" s="50"/>
      <c r="I127" s="50"/>
      <c r="J127" s="50"/>
      <c r="K127" s="50"/>
      <c r="L127" s="50"/>
    </row>
    <row r="128" spans="1:67">
      <c r="A128" s="50"/>
      <c r="B128" s="50"/>
      <c r="C128" s="50"/>
      <c r="D128" s="50"/>
      <c r="E128" s="50"/>
      <c r="F128" s="50"/>
      <c r="G128" s="50"/>
      <c r="H128" s="50"/>
      <c r="I128" s="50"/>
      <c r="J128" s="50"/>
      <c r="K128" s="50"/>
      <c r="L128" s="50"/>
    </row>
    <row r="129" spans="1:12">
      <c r="A129" s="50"/>
      <c r="B129" s="50"/>
      <c r="C129" s="50"/>
      <c r="D129" s="50"/>
      <c r="E129" s="50"/>
      <c r="F129" s="50"/>
      <c r="G129" s="50"/>
      <c r="H129" s="50"/>
      <c r="I129" s="50"/>
      <c r="J129" s="50"/>
      <c r="K129" s="50"/>
      <c r="L129" s="50"/>
    </row>
  </sheetData>
  <mergeCells count="77">
    <mergeCell ref="FA3:FK3"/>
    <mergeCell ref="FA4:FA5"/>
    <mergeCell ref="FB4:FB5"/>
    <mergeCell ref="FD4:FF4"/>
    <mergeCell ref="FG4:FJ4"/>
    <mergeCell ref="FM3:FW3"/>
    <mergeCell ref="FM4:FM5"/>
    <mergeCell ref="FN4:FN5"/>
    <mergeCell ref="FP4:FR4"/>
    <mergeCell ref="FS4:FV4"/>
    <mergeCell ref="EC3:EM3"/>
    <mergeCell ref="EC4:EC5"/>
    <mergeCell ref="ED4:ED5"/>
    <mergeCell ref="EF4:EH4"/>
    <mergeCell ref="EI4:EL4"/>
    <mergeCell ref="EO3:EY3"/>
    <mergeCell ref="EO4:EO5"/>
    <mergeCell ref="EP4:EP5"/>
    <mergeCell ref="ER4:ET4"/>
    <mergeCell ref="EU4:EX4"/>
    <mergeCell ref="DE3:DO3"/>
    <mergeCell ref="DE4:DE5"/>
    <mergeCell ref="DF4:DF5"/>
    <mergeCell ref="DH4:DJ4"/>
    <mergeCell ref="DK4:DN4"/>
    <mergeCell ref="DQ3:EA3"/>
    <mergeCell ref="DQ4:DQ5"/>
    <mergeCell ref="DR4:DR5"/>
    <mergeCell ref="DT4:DV4"/>
    <mergeCell ref="DW4:DZ4"/>
    <mergeCell ref="CG3:CQ3"/>
    <mergeCell ref="CG4:CG5"/>
    <mergeCell ref="CH4:CH5"/>
    <mergeCell ref="CJ4:CL4"/>
    <mergeCell ref="CM4:CP4"/>
    <mergeCell ref="CS3:DC3"/>
    <mergeCell ref="CS4:CS5"/>
    <mergeCell ref="CT4:CT5"/>
    <mergeCell ref="CV4:CX4"/>
    <mergeCell ref="CY4:DB4"/>
    <mergeCell ref="BI4:BI5"/>
    <mergeCell ref="BJ4:BJ5"/>
    <mergeCell ref="BL4:BN4"/>
    <mergeCell ref="BO4:BR4"/>
    <mergeCell ref="BU3:CE3"/>
    <mergeCell ref="BU4:BU5"/>
    <mergeCell ref="BV4:BV5"/>
    <mergeCell ref="BX4:BZ4"/>
    <mergeCell ref="CA4:CD4"/>
    <mergeCell ref="AE4:AH4"/>
    <mergeCell ref="AK3:AU3"/>
    <mergeCell ref="AK4:AK5"/>
    <mergeCell ref="AL4:AL5"/>
    <mergeCell ref="AN4:AP4"/>
    <mergeCell ref="AQ4:AT4"/>
    <mergeCell ref="AW4:AW5"/>
    <mergeCell ref="AX4:AX5"/>
    <mergeCell ref="AZ4:BB4"/>
    <mergeCell ref="BC4:BF4"/>
    <mergeCell ref="AJ4:AJ5"/>
    <mergeCell ref="AB4:AD4"/>
    <mergeCell ref="A4:A5"/>
    <mergeCell ref="B4:B5"/>
    <mergeCell ref="D4:F4"/>
    <mergeCell ref="G4:J4"/>
    <mergeCell ref="M4:M5"/>
    <mergeCell ref="N4:N5"/>
    <mergeCell ref="X4:X5"/>
    <mergeCell ref="Y4:Y5"/>
    <mergeCell ref="P4:R4"/>
    <mergeCell ref="S4:V4"/>
    <mergeCell ref="Z4:Z5"/>
    <mergeCell ref="A3:K3"/>
    <mergeCell ref="M3:W3"/>
    <mergeCell ref="Y3:AI3"/>
    <mergeCell ref="AW3:BG3"/>
    <mergeCell ref="BI3:BS3"/>
  </mergeCells>
  <phoneticPr fontId="69" type="noConversion"/>
  <conditionalFormatting sqref="AV6:AV12">
    <cfRule type="dataBar" priority="13">
      <dataBar>
        <cfvo type="min"/>
        <cfvo type="max"/>
        <color rgb="FF638EC6"/>
      </dataBar>
      <extLst>
        <ext xmlns:x14="http://schemas.microsoft.com/office/spreadsheetml/2009/9/main" uri="{B025F937-C7B1-47D3-B67F-A62EFF666E3E}">
          <x14:id>{B8E967D6-FC47-48F9-9238-249B04BB66ED}</x14:id>
        </ext>
      </extLst>
    </cfRule>
  </conditionalFormatting>
  <conditionalFormatting sqref="BH6:BH12">
    <cfRule type="dataBar" priority="12">
      <dataBar>
        <cfvo type="min"/>
        <cfvo type="max"/>
        <color rgb="FF638EC6"/>
      </dataBar>
      <extLst>
        <ext xmlns:x14="http://schemas.microsoft.com/office/spreadsheetml/2009/9/main" uri="{B025F937-C7B1-47D3-B67F-A62EFF666E3E}">
          <x14:id>{026D718D-BED0-49D9-9843-6907ACC31195}</x14:id>
        </ext>
      </extLst>
    </cfRule>
  </conditionalFormatting>
  <conditionalFormatting sqref="C6:C12">
    <cfRule type="colorScale" priority="8">
      <colorScale>
        <cfvo type="min"/>
        <cfvo type="max"/>
        <color rgb="FFFCFCFF"/>
        <color rgb="FF63BE7B"/>
      </colorScale>
    </cfRule>
  </conditionalFormatting>
  <conditionalFormatting sqref="O6:O12">
    <cfRule type="colorScale" priority="7">
      <colorScale>
        <cfvo type="min"/>
        <cfvo type="max"/>
        <color rgb="FFFCFCFF"/>
        <color rgb="FF63BE7B"/>
      </colorScale>
    </cfRule>
  </conditionalFormatting>
  <conditionalFormatting sqref="AA6:AA12 AM6:AM12">
    <cfRule type="colorScale" priority="6">
      <colorScale>
        <cfvo type="min"/>
        <cfvo type="max"/>
        <color rgb="FFFCFCFF"/>
        <color rgb="FF63BE7B"/>
      </colorScale>
    </cfRule>
  </conditionalFormatting>
  <conditionalFormatting sqref="AY6:AY12 BK6:BK12 BW6:BW12 CI6:CI12 CU6:CU12">
    <cfRule type="colorScale" priority="5">
      <colorScale>
        <cfvo type="min"/>
        <cfvo type="max"/>
        <color rgb="FFFCFCFF"/>
        <color rgb="FF63BE7B"/>
      </colorScale>
    </cfRule>
  </conditionalFormatting>
  <conditionalFormatting sqref="DG6:DG12 DS6:DS12 EE6:EE12 EQ6:EQ12">
    <cfRule type="colorScale" priority="4">
      <colorScale>
        <cfvo type="min"/>
        <cfvo type="max"/>
        <color rgb="FFFCFCFF"/>
        <color rgb="FF63BE7B"/>
      </colorScale>
    </cfRule>
  </conditionalFormatting>
  <conditionalFormatting sqref="FC6:FC12 FO6:FO12">
    <cfRule type="colorScale" priority="3">
      <colorScale>
        <cfvo type="min"/>
        <cfvo type="max"/>
        <color rgb="FFFCFCFF"/>
        <color rgb="FF63BE7B"/>
      </colorScale>
    </cfRule>
  </conditionalFormatting>
  <conditionalFormatting sqref="B20:P26">
    <cfRule type="colorScale" priority="2">
      <colorScale>
        <cfvo type="min"/>
        <cfvo type="max"/>
        <color rgb="FFFCFCFF"/>
        <color rgb="FF63BE7B"/>
      </colorScale>
    </cfRule>
  </conditionalFormatting>
  <conditionalFormatting sqref="B31:E37">
    <cfRule type="colorScale" priority="1">
      <colorScale>
        <cfvo type="min"/>
        <cfvo type="max"/>
        <color rgb="FFFCFCFF"/>
        <color rgb="FF63BE7B"/>
      </colorScale>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B8E967D6-FC47-48F9-9238-249B04BB66ED}">
            <x14:dataBar minLength="0" maxLength="100" gradient="0">
              <x14:cfvo type="autoMin"/>
              <x14:cfvo type="autoMax"/>
              <x14:negativeFillColor rgb="FFFF0000"/>
              <x14:axisColor rgb="FF000000"/>
            </x14:dataBar>
          </x14:cfRule>
          <xm:sqref>AV6:AV12</xm:sqref>
        </x14:conditionalFormatting>
        <x14:conditionalFormatting xmlns:xm="http://schemas.microsoft.com/office/excel/2006/main">
          <x14:cfRule type="dataBar" id="{026D718D-BED0-49D9-9843-6907ACC31195}">
            <x14:dataBar minLength="0" maxLength="100" gradient="0">
              <x14:cfvo type="autoMin"/>
              <x14:cfvo type="autoMax"/>
              <x14:negativeFillColor rgb="FFFF0000"/>
              <x14:axisColor rgb="FF000000"/>
            </x14:dataBar>
          </x14:cfRule>
          <xm:sqref>BH6:BH12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40E7B-635F-4258-9E05-8A7CDBE844F9}">
  <dimension ref="I9:M24"/>
  <sheetViews>
    <sheetView workbookViewId="0"/>
  </sheetViews>
  <sheetFormatPr defaultRowHeight="15"/>
  <sheetData>
    <row r="9" spans="9:13" ht="15.75">
      <c r="I9" s="594"/>
      <c r="J9" s="595"/>
      <c r="K9" s="594"/>
      <c r="L9" s="594"/>
      <c r="M9" s="596"/>
    </row>
    <row r="10" spans="9:13" ht="15.75">
      <c r="I10" s="1"/>
      <c r="J10" s="34"/>
      <c r="K10" s="1"/>
      <c r="L10" s="1"/>
      <c r="M10" s="1"/>
    </row>
    <row r="11" spans="9:13" ht="15.75">
      <c r="I11" s="1"/>
      <c r="J11" s="34"/>
      <c r="K11" s="1"/>
      <c r="L11" s="1"/>
      <c r="M11" s="1"/>
    </row>
    <row r="12" spans="9:13" ht="15.75">
      <c r="I12" s="1"/>
      <c r="J12" s="34"/>
      <c r="K12" s="1"/>
      <c r="L12" s="1"/>
      <c r="M12" s="1"/>
    </row>
    <row r="13" spans="9:13" ht="15.75">
      <c r="I13" s="1"/>
      <c r="J13" s="34"/>
      <c r="K13" s="1"/>
      <c r="L13" s="1"/>
      <c r="M13" s="1"/>
    </row>
    <row r="14" spans="9:13" ht="15.75">
      <c r="I14" s="1"/>
      <c r="J14" s="34"/>
      <c r="K14" s="1"/>
      <c r="L14" s="1"/>
      <c r="M14" s="1"/>
    </row>
    <row r="15" spans="9:13" ht="15.75">
      <c r="I15" s="1"/>
      <c r="J15" s="34"/>
      <c r="K15" s="1"/>
      <c r="L15" s="1"/>
      <c r="M15" s="1"/>
    </row>
    <row r="16" spans="9:13" ht="15.75">
      <c r="I16" s="1"/>
      <c r="J16" s="34"/>
      <c r="K16" s="1"/>
      <c r="L16" s="1"/>
      <c r="M16" s="1"/>
    </row>
    <row r="17" spans="9:13" ht="15.75">
      <c r="I17" s="594"/>
      <c r="J17" s="595"/>
      <c r="K17" s="594"/>
      <c r="L17" s="594"/>
      <c r="M17" s="596"/>
    </row>
    <row r="18" spans="9:13" ht="15.75">
      <c r="I18" s="1"/>
      <c r="J18" s="34"/>
      <c r="K18" s="1"/>
      <c r="L18" s="1"/>
      <c r="M18" s="1"/>
    </row>
    <row r="19" spans="9:13" ht="15.75">
      <c r="I19" s="1"/>
      <c r="J19" s="34"/>
      <c r="K19" s="1"/>
      <c r="L19" s="1"/>
      <c r="M19" s="1"/>
    </row>
    <row r="20" spans="9:13" ht="15.75">
      <c r="I20" s="1"/>
      <c r="J20" s="34"/>
      <c r="K20" s="1"/>
      <c r="L20" s="1"/>
      <c r="M20" s="1"/>
    </row>
    <row r="21" spans="9:13" ht="15.75">
      <c r="I21" s="1"/>
      <c r="J21" s="34"/>
      <c r="K21" s="1"/>
      <c r="L21" s="1"/>
      <c r="M21" s="1"/>
    </row>
    <row r="22" spans="9:13" ht="15.75">
      <c r="I22" s="1"/>
      <c r="J22" s="34"/>
      <c r="K22" s="1"/>
      <c r="L22" s="1"/>
      <c r="M22" s="1"/>
    </row>
    <row r="23" spans="9:13" ht="15.75">
      <c r="I23" s="1"/>
      <c r="J23" s="34"/>
      <c r="K23" s="1"/>
      <c r="L23" s="1"/>
      <c r="M23" s="1"/>
    </row>
    <row r="24" spans="9:13" ht="15.75">
      <c r="I24" s="1"/>
      <c r="J24" s="34"/>
      <c r="K24" s="1"/>
      <c r="L24" s="1"/>
      <c r="M24" s="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899F3-1A32-4B0B-B7A6-ED3AC07BBBDF}">
  <sheetPr filterMode="1"/>
  <dimension ref="A1:AY597"/>
  <sheetViews>
    <sheetView topLeftCell="E1" zoomScale="85" zoomScaleNormal="85" workbookViewId="0">
      <selection activeCell="R323" sqref="R323"/>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409.5">
      <c r="A8" s="8" t="s">
        <v>53</v>
      </c>
      <c r="B8" s="29" t="s">
        <v>54</v>
      </c>
      <c r="C8" s="8" t="s">
        <v>55</v>
      </c>
      <c r="D8" s="8" t="s">
        <v>69</v>
      </c>
      <c r="E8" s="8" t="s">
        <v>70</v>
      </c>
      <c r="F8" s="8"/>
      <c r="G8" s="8" t="s">
        <v>71</v>
      </c>
      <c r="H8" s="8" t="s">
        <v>72</v>
      </c>
      <c r="I8" s="8" t="s">
        <v>73</v>
      </c>
      <c r="J8" s="8"/>
      <c r="K8" s="8"/>
      <c r="L8" s="8"/>
      <c r="M8" s="8"/>
      <c r="N8" s="8"/>
      <c r="O8" s="8"/>
      <c r="P8" s="60"/>
      <c r="R8" s="38" t="s">
        <v>1192</v>
      </c>
      <c r="S8" s="8" t="s">
        <v>1193</v>
      </c>
      <c r="T8" s="8" t="s">
        <v>1194</v>
      </c>
      <c r="U8" s="8" t="s">
        <v>0</v>
      </c>
      <c r="V8" s="8" t="s">
        <v>6</v>
      </c>
      <c r="W8" s="8" t="s">
        <v>4048</v>
      </c>
      <c r="X8" s="8" t="s">
        <v>9</v>
      </c>
      <c r="Y8" s="8"/>
      <c r="Z8" s="8"/>
      <c r="AA8" s="8" t="s">
        <v>1195</v>
      </c>
    </row>
    <row r="9" spans="1:27" ht="409.5">
      <c r="A9" s="8" t="s">
        <v>53</v>
      </c>
      <c r="B9" s="29" t="s">
        <v>54</v>
      </c>
      <c r="C9" s="8" t="s">
        <v>55</v>
      </c>
      <c r="D9" s="8" t="s">
        <v>74</v>
      </c>
      <c r="E9" s="8" t="s">
        <v>75</v>
      </c>
      <c r="F9" s="8"/>
      <c r="G9" s="8" t="s">
        <v>71</v>
      </c>
      <c r="H9" s="8" t="s">
        <v>76</v>
      </c>
      <c r="I9" s="8" t="s">
        <v>77</v>
      </c>
      <c r="J9" s="8"/>
      <c r="K9" s="10"/>
      <c r="L9" s="8"/>
      <c r="M9" s="8"/>
      <c r="N9" s="8"/>
      <c r="O9" s="8"/>
      <c r="P9" s="60"/>
      <c r="R9" s="38" t="s">
        <v>1193</v>
      </c>
      <c r="S9" s="8" t="s">
        <v>1193</v>
      </c>
      <c r="T9" s="8" t="s">
        <v>1196</v>
      </c>
      <c r="U9" s="8"/>
      <c r="V9" s="8" t="s">
        <v>6</v>
      </c>
      <c r="W9" s="8" t="s">
        <v>1197</v>
      </c>
      <c r="X9" s="8" t="s">
        <v>9</v>
      </c>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hidden="1">
      <c r="A12" s="8" t="s">
        <v>53</v>
      </c>
      <c r="B12" s="29" t="s">
        <v>54</v>
      </c>
      <c r="C12" s="8" t="s">
        <v>81</v>
      </c>
      <c r="D12" s="8" t="s">
        <v>86</v>
      </c>
      <c r="E12" s="69" t="s">
        <v>87</v>
      </c>
      <c r="F12" s="8"/>
      <c r="G12" s="8" t="s">
        <v>62</v>
      </c>
      <c r="H12" s="8" t="s">
        <v>84</v>
      </c>
      <c r="I12" s="8" t="s">
        <v>85</v>
      </c>
      <c r="J12" s="8"/>
      <c r="K12" s="8"/>
      <c r="L12" s="8"/>
      <c r="M12" s="8"/>
      <c r="N12" s="8"/>
      <c r="O12" s="8"/>
      <c r="P12" s="60"/>
      <c r="R12" s="38"/>
      <c r="S12" s="8"/>
      <c r="T12" s="8"/>
      <c r="U12" s="8"/>
      <c r="V12" s="8"/>
      <c r="W12" s="8"/>
      <c r="X12" s="8"/>
      <c r="Y12" s="8"/>
      <c r="Z12" s="8"/>
      <c r="AA12" s="8"/>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63" hidden="1">
      <c r="A14" s="8" t="s">
        <v>53</v>
      </c>
      <c r="B14" s="29" t="s">
        <v>54</v>
      </c>
      <c r="C14" s="8" t="s">
        <v>81</v>
      </c>
      <c r="D14" s="8" t="s">
        <v>90</v>
      </c>
      <c r="E14" s="69" t="s">
        <v>91</v>
      </c>
      <c r="F14" s="8"/>
      <c r="G14" s="8" t="s">
        <v>62</v>
      </c>
      <c r="H14" s="8" t="s">
        <v>84</v>
      </c>
      <c r="I14" s="8" t="s">
        <v>85</v>
      </c>
      <c r="J14" s="8"/>
      <c r="K14" s="8"/>
      <c r="L14" s="8"/>
      <c r="M14" s="8"/>
      <c r="N14" s="8"/>
      <c r="O14" s="8"/>
      <c r="P14" s="60"/>
      <c r="R14" s="38"/>
      <c r="S14" s="8"/>
      <c r="T14" s="8"/>
      <c r="U14" s="8"/>
      <c r="V14" s="8"/>
      <c r="W14" s="8"/>
      <c r="X14" s="8"/>
      <c r="Y14" s="8"/>
      <c r="Z14" s="8"/>
      <c r="AA14" s="8"/>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customHeight="1">
      <c r="A21" s="8" t="s">
        <v>53</v>
      </c>
      <c r="B21" s="29" t="s">
        <v>54</v>
      </c>
      <c r="C21" s="8" t="s">
        <v>81</v>
      </c>
      <c r="D21" s="8" t="s">
        <v>104</v>
      </c>
      <c r="E21" s="8" t="s">
        <v>105</v>
      </c>
      <c r="F21" s="8"/>
      <c r="G21" s="8" t="s">
        <v>62</v>
      </c>
      <c r="H21" s="8" t="s">
        <v>106</v>
      </c>
      <c r="I21" s="9">
        <v>1</v>
      </c>
      <c r="J21" s="9"/>
      <c r="K21" s="11"/>
      <c r="L21" s="9"/>
      <c r="M21" s="9"/>
      <c r="N21" s="9"/>
      <c r="O21" s="9"/>
      <c r="P21" s="60"/>
      <c r="Q21" s="47"/>
      <c r="R21" s="37" t="s">
        <v>1198</v>
      </c>
      <c r="S21" s="9" t="s">
        <v>1199</v>
      </c>
      <c r="T21" s="9" t="s">
        <v>1200</v>
      </c>
      <c r="U21" s="9"/>
      <c r="V21" s="9" t="s">
        <v>1191</v>
      </c>
      <c r="W21" s="9"/>
      <c r="X21" s="9" t="s">
        <v>9</v>
      </c>
      <c r="Y21" s="9"/>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409.5">
      <c r="A185" s="8" t="s">
        <v>16</v>
      </c>
      <c r="B185" s="29" t="s">
        <v>274</v>
      </c>
      <c r="C185" s="8" t="s">
        <v>562</v>
      </c>
      <c r="D185" s="8" t="s">
        <v>565</v>
      </c>
      <c r="E185" s="69" t="s">
        <v>566</v>
      </c>
      <c r="F185" s="8"/>
      <c r="G185" s="8" t="s">
        <v>62</v>
      </c>
      <c r="H185" s="8" t="s">
        <v>567</v>
      </c>
      <c r="I185" s="9">
        <v>1</v>
      </c>
      <c r="J185" s="8"/>
      <c r="K185" s="8"/>
      <c r="L185" s="8"/>
      <c r="M185" s="8"/>
      <c r="N185" s="8"/>
      <c r="O185" s="8"/>
      <c r="P185" s="60"/>
      <c r="R185" s="38" t="s">
        <v>1201</v>
      </c>
      <c r="S185" s="8" t="s">
        <v>1201</v>
      </c>
      <c r="T185" s="8" t="s">
        <v>1202</v>
      </c>
      <c r="U185" s="8"/>
      <c r="V185" s="8" t="s">
        <v>6</v>
      </c>
      <c r="W185" s="8" t="s">
        <v>1197</v>
      </c>
      <c r="X185" s="8" t="s">
        <v>9</v>
      </c>
      <c r="Y185" s="8"/>
      <c r="Z185" s="8"/>
      <c r="AA185" s="8"/>
    </row>
    <row r="186" spans="1:51" ht="409.5">
      <c r="A186" s="8" t="s">
        <v>16</v>
      </c>
      <c r="B186" s="29" t="s">
        <v>274</v>
      </c>
      <c r="C186" s="8" t="s">
        <v>562</v>
      </c>
      <c r="D186" s="8" t="s">
        <v>568</v>
      </c>
      <c r="E186" s="69" t="s">
        <v>569</v>
      </c>
      <c r="F186" s="8"/>
      <c r="G186" s="8" t="s">
        <v>62</v>
      </c>
      <c r="H186" s="8" t="s">
        <v>570</v>
      </c>
      <c r="I186" s="9">
        <v>1</v>
      </c>
      <c r="J186" s="8"/>
      <c r="K186" s="8"/>
      <c r="L186" s="8"/>
      <c r="M186" s="8"/>
      <c r="N186" s="8"/>
      <c r="O186" s="8"/>
      <c r="P186" s="60"/>
      <c r="R186" s="38" t="s">
        <v>1201</v>
      </c>
      <c r="S186" s="8" t="s">
        <v>1201</v>
      </c>
      <c r="T186" s="8" t="s">
        <v>1202</v>
      </c>
      <c r="U186" s="8"/>
      <c r="V186" s="8" t="s">
        <v>6</v>
      </c>
      <c r="W186" s="8" t="s">
        <v>1197</v>
      </c>
      <c r="X186" s="8" t="s">
        <v>9</v>
      </c>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c r="A215" s="8" t="s">
        <v>18</v>
      </c>
      <c r="B215" s="29" t="s">
        <v>54</v>
      </c>
      <c r="C215" s="8" t="s">
        <v>640</v>
      </c>
      <c r="D215" s="8" t="s">
        <v>641</v>
      </c>
      <c r="E215" s="8" t="s">
        <v>642</v>
      </c>
      <c r="F215" s="8"/>
      <c r="G215" s="8" t="s">
        <v>62</v>
      </c>
      <c r="H215" s="8" t="s">
        <v>484</v>
      </c>
      <c r="I215" s="8" t="s">
        <v>485</v>
      </c>
      <c r="J215" s="8"/>
      <c r="K215" s="8"/>
      <c r="L215" s="8"/>
      <c r="M215" s="8"/>
      <c r="N215" s="8"/>
      <c r="O215" s="8"/>
      <c r="P215" s="60"/>
      <c r="R215" s="38" t="s">
        <v>1203</v>
      </c>
      <c r="S215" s="8"/>
      <c r="T215" s="8"/>
      <c r="U215" s="8"/>
      <c r="V215" s="8" t="s">
        <v>1191</v>
      </c>
      <c r="W215" s="8" t="s">
        <v>1204</v>
      </c>
      <c r="X215" s="8" t="s">
        <v>1205</v>
      </c>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110.25">
      <c r="A250" s="8" t="s">
        <v>18</v>
      </c>
      <c r="B250" s="29" t="s">
        <v>587</v>
      </c>
      <c r="C250" s="8" t="s">
        <v>732</v>
      </c>
      <c r="D250" s="8" t="s">
        <v>733</v>
      </c>
      <c r="E250" s="8" t="s">
        <v>734</v>
      </c>
      <c r="F250" s="8"/>
      <c r="G250" s="8" t="s">
        <v>71</v>
      </c>
      <c r="H250" s="8" t="s">
        <v>735</v>
      </c>
      <c r="I250" s="9">
        <v>1</v>
      </c>
      <c r="J250" s="8"/>
      <c r="K250" s="8"/>
      <c r="L250" s="8"/>
      <c r="M250" s="8"/>
      <c r="N250" s="8"/>
      <c r="O250" s="8"/>
      <c r="P250" s="60"/>
      <c r="R250" s="38" t="s">
        <v>1206</v>
      </c>
      <c r="S250" s="146"/>
      <c r="T250" s="8"/>
      <c r="U250" s="8"/>
      <c r="V250" s="8" t="s">
        <v>1191</v>
      </c>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110.25">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t="s">
        <v>1206</v>
      </c>
      <c r="S258" s="8"/>
      <c r="T258" s="8"/>
      <c r="U258" s="8"/>
      <c r="V258" s="8"/>
      <c r="W258" s="8"/>
      <c r="X258" s="8"/>
      <c r="Y258" s="8"/>
      <c r="Z258" s="8"/>
      <c r="AA258" s="8"/>
    </row>
    <row r="259" spans="1:27" ht="110.25">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t="s">
        <v>1206</v>
      </c>
      <c r="S259" s="8"/>
      <c r="T259" s="8"/>
      <c r="U259" s="8"/>
      <c r="V259" s="8"/>
      <c r="W259" s="8"/>
      <c r="X259" s="8"/>
      <c r="Y259" s="8"/>
      <c r="Z259" s="8"/>
      <c r="AA259" s="8"/>
    </row>
    <row r="260" spans="1:27" ht="110.25">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t="s">
        <v>1206</v>
      </c>
      <c r="S260" s="8"/>
      <c r="T260" s="8"/>
      <c r="U260" s="8"/>
      <c r="V260" s="8"/>
      <c r="W260" s="8"/>
      <c r="X260" s="8"/>
      <c r="Y260" s="8"/>
      <c r="Z260" s="8"/>
      <c r="AA260" s="8"/>
    </row>
    <row r="261" spans="1:27" ht="110.25">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t="s">
        <v>1206</v>
      </c>
      <c r="S261" s="8"/>
      <c r="T261" s="8"/>
      <c r="U261" s="8"/>
      <c r="V261" s="8"/>
      <c r="W261" s="8"/>
      <c r="X261" s="8"/>
      <c r="Y261" s="8"/>
      <c r="Z261" s="8"/>
      <c r="AA261" s="8"/>
    </row>
    <row r="262" spans="1:27" ht="110.25">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t="s">
        <v>1206</v>
      </c>
      <c r="S262" s="8"/>
      <c r="T262" s="8"/>
      <c r="U262" s="8"/>
      <c r="V262" s="8"/>
      <c r="W262" s="8"/>
      <c r="X262" s="8"/>
      <c r="Y262" s="8"/>
      <c r="Z262" s="8"/>
      <c r="AA262" s="8"/>
    </row>
    <row r="263" spans="1:27" ht="409.5">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t="s">
        <v>1207</v>
      </c>
      <c r="S263" s="8" t="s">
        <v>1208</v>
      </c>
      <c r="T263" s="8" t="s">
        <v>1209</v>
      </c>
      <c r="U263" s="8"/>
      <c r="V263" s="8" t="s">
        <v>6</v>
      </c>
      <c r="W263" s="8" t="s">
        <v>1197</v>
      </c>
      <c r="X263" s="8" t="s">
        <v>9</v>
      </c>
      <c r="Y263" s="8"/>
      <c r="Z263" s="8"/>
      <c r="AA263" s="8"/>
    </row>
    <row r="264" spans="1:27" ht="110.25">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t="s">
        <v>1206</v>
      </c>
      <c r="S264" s="8"/>
      <c r="T264" s="8"/>
      <c r="U264" s="8"/>
      <c r="V264" s="8"/>
      <c r="W264" s="8"/>
      <c r="X264" s="8"/>
      <c r="Y264" s="8"/>
      <c r="Z264" s="8"/>
      <c r="AA264" s="8"/>
    </row>
    <row r="265" spans="1:27" ht="110.25">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t="s">
        <v>1206</v>
      </c>
      <c r="S265" s="8"/>
      <c r="T265" s="8"/>
      <c r="U265" s="8"/>
      <c r="V265" s="8"/>
      <c r="W265" s="8"/>
      <c r="X265" s="8"/>
      <c r="Y265" s="8"/>
      <c r="Z265" s="8"/>
      <c r="AA265" s="8"/>
    </row>
    <row r="266" spans="1:27" ht="31.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409.5">
      <c r="A267" s="8" t="s">
        <v>20</v>
      </c>
      <c r="B267" s="31" t="s">
        <v>54</v>
      </c>
      <c r="C267" s="8" t="s">
        <v>774</v>
      </c>
      <c r="D267" s="8" t="s">
        <v>775</v>
      </c>
      <c r="E267" s="8" t="s">
        <v>776</v>
      </c>
      <c r="F267" s="8"/>
      <c r="G267" s="8" t="s">
        <v>62</v>
      </c>
      <c r="H267" s="8" t="s">
        <v>777</v>
      </c>
      <c r="I267" s="8" t="s">
        <v>494</v>
      </c>
      <c r="J267" s="8"/>
      <c r="K267" s="8"/>
      <c r="L267" s="8"/>
      <c r="M267" s="8"/>
      <c r="N267" s="8"/>
      <c r="O267" s="8"/>
      <c r="P267" s="60"/>
      <c r="R267" s="38" t="s">
        <v>1210</v>
      </c>
      <c r="S267" s="8" t="s">
        <v>1211</v>
      </c>
      <c r="T267" s="8" t="s">
        <v>1212</v>
      </c>
      <c r="U267" s="8"/>
      <c r="V267" s="8" t="s">
        <v>6</v>
      </c>
      <c r="W267" s="8" t="s">
        <v>1197</v>
      </c>
      <c r="X267" s="8" t="s">
        <v>9</v>
      </c>
      <c r="Y267" s="8"/>
      <c r="Z267" s="8"/>
      <c r="AA267" s="8" t="s">
        <v>1213</v>
      </c>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63"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94.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189"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56.25"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56.25"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c r="A316" s="8" t="s">
        <v>20</v>
      </c>
      <c r="B316" s="29" t="s">
        <v>587</v>
      </c>
      <c r="C316" s="8" t="s">
        <v>908</v>
      </c>
      <c r="D316" s="8" t="s">
        <v>909</v>
      </c>
      <c r="E316" s="8" t="s">
        <v>910</v>
      </c>
      <c r="F316" s="8"/>
      <c r="G316" s="8" t="s">
        <v>62</v>
      </c>
      <c r="H316" s="8" t="s">
        <v>911</v>
      </c>
      <c r="I316" s="9">
        <v>0.5</v>
      </c>
      <c r="J316" s="8"/>
      <c r="K316" s="8"/>
      <c r="L316" s="8"/>
      <c r="M316" s="8"/>
      <c r="N316" s="8"/>
      <c r="O316" s="8"/>
      <c r="P316" s="60"/>
      <c r="R316" s="38" t="s">
        <v>1214</v>
      </c>
      <c r="S316" s="147"/>
      <c r="T316" s="8"/>
      <c r="U316" s="8"/>
      <c r="V316" s="8" t="s">
        <v>1215</v>
      </c>
      <c r="W316" s="8" t="s">
        <v>1197</v>
      </c>
      <c r="X316" s="8"/>
      <c r="Y316" s="8"/>
      <c r="Z316" s="8"/>
      <c r="AA316" s="8"/>
    </row>
    <row r="317" spans="1:27" ht="78.7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63"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31.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56.25"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56.25"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409.5">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t="s">
        <v>1216</v>
      </c>
      <c r="S383" s="8" t="s">
        <v>1216</v>
      </c>
      <c r="T383" s="8" t="s">
        <v>1217</v>
      </c>
      <c r="U383" s="8"/>
      <c r="V383" s="8" t="s">
        <v>6</v>
      </c>
      <c r="W383" s="8" t="s">
        <v>1197</v>
      </c>
      <c r="X383" s="8" t="s">
        <v>9</v>
      </c>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110.2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47.2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78.75"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63"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78.75"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D38899F3-1A32-4B0B-B7A6-ED3AC07BBBDF}">
    <filterColumn colId="17">
      <customFilters>
        <customFilter operator="notEqual" val=" "/>
      </customFilters>
    </filterColumn>
  </autoFilter>
  <dataValidations count="1">
    <dataValidation type="textLength" operator="lessThan" allowBlank="1" showInputMessage="1" showErrorMessage="1" sqref="P1:P432 AA1:AA432" xr:uid="{FFDA5B92-9C42-4CD2-B2E3-53418B90CCA6}">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40645A5B-E038-4D9E-A000-A4D9FE12D41D}">
          <x14:formula1>
            <xm:f>'Input sheet to hide '!$B$3:$B$5</xm:f>
          </x14:formula1>
          <xm:sqref>J4:J156 V3:V432</xm:sqref>
        </x14:dataValidation>
        <x14:dataValidation type="list" allowBlank="1" showInputMessage="1" showErrorMessage="1" xr:uid="{5D9376BD-5FC6-43ED-AB42-B5F8195C91E7}">
          <x14:formula1>
            <xm:f>'Input sheet to hide '!$C$3:$C$6</xm:f>
          </x14:formula1>
          <xm:sqref>M4:M156 X3:X432</xm:sqref>
        </x14:dataValidation>
        <x14:dataValidation type="list" allowBlank="1" showInputMessage="1" showErrorMessage="1" xr:uid="{3361109D-66E5-4576-A5ED-CBC1E711BCF7}">
          <x14:formula1>
            <xm:f>'CP Response Overview'!#REF!</xm:f>
          </x14:formula1>
          <xm:sqref>U3:U432 F432 F274:F297 F420:F421 F415:F418 F403:F413 F387:F399 F344:F385 F336:F341 F333:F334 F300:F331 F191:F235 F237:F272 F3:F189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9B253-064C-4F01-BA9E-D52ACA2A3C67}">
  <sheetPr filterMode="1"/>
  <dimension ref="A1:AY597"/>
  <sheetViews>
    <sheetView workbookViewId="0">
      <selection activeCell="R323" sqref="R323"/>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8"/>
      <c r="M8" s="8"/>
      <c r="N8" s="8"/>
      <c r="O8" s="8"/>
      <c r="P8" s="60"/>
      <c r="R8" s="38"/>
      <c r="S8" s="8"/>
      <c r="T8" s="8"/>
      <c r="U8" s="8"/>
      <c r="V8" s="8"/>
      <c r="W8" s="8"/>
      <c r="X8" s="8"/>
      <c r="Y8" s="8"/>
      <c r="Z8" s="8"/>
      <c r="AA8" s="8"/>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c r="A12" s="8" t="s">
        <v>53</v>
      </c>
      <c r="B12" s="29" t="s">
        <v>54</v>
      </c>
      <c r="C12" s="8" t="s">
        <v>81</v>
      </c>
      <c r="D12" s="8" t="s">
        <v>86</v>
      </c>
      <c r="E12" s="69" t="s">
        <v>87</v>
      </c>
      <c r="F12" s="8"/>
      <c r="G12" s="8" t="s">
        <v>62</v>
      </c>
      <c r="H12" s="8" t="s">
        <v>84</v>
      </c>
      <c r="I12" s="8" t="s">
        <v>85</v>
      </c>
      <c r="J12" s="8"/>
      <c r="K12" s="8"/>
      <c r="L12" s="8"/>
      <c r="M12" s="8"/>
      <c r="N12" s="8"/>
      <c r="O12" s="8"/>
      <c r="P12" s="60"/>
      <c r="R12" s="38" t="s">
        <v>1218</v>
      </c>
      <c r="S12" s="8" t="s">
        <v>1219</v>
      </c>
      <c r="T12" s="8" t="s">
        <v>1220</v>
      </c>
      <c r="U12" s="8" t="s">
        <v>1221</v>
      </c>
      <c r="V12" s="8" t="s">
        <v>8</v>
      </c>
      <c r="W12" s="8">
        <v>2022</v>
      </c>
      <c r="X12" s="8" t="s">
        <v>10</v>
      </c>
      <c r="Y12" s="8" t="s">
        <v>1222</v>
      </c>
      <c r="Z12" s="8" t="s">
        <v>1223</v>
      </c>
      <c r="AA12" s="8" t="s">
        <v>1224</v>
      </c>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63" hidden="1">
      <c r="A14" s="8" t="s">
        <v>53</v>
      </c>
      <c r="B14" s="29" t="s">
        <v>54</v>
      </c>
      <c r="C14" s="8" t="s">
        <v>81</v>
      </c>
      <c r="D14" s="8" t="s">
        <v>90</v>
      </c>
      <c r="E14" s="69" t="s">
        <v>91</v>
      </c>
      <c r="F14" s="8"/>
      <c r="G14" s="8" t="s">
        <v>62</v>
      </c>
      <c r="H14" s="8" t="s">
        <v>84</v>
      </c>
      <c r="I14" s="8" t="s">
        <v>85</v>
      </c>
      <c r="J14" s="8"/>
      <c r="K14" s="8"/>
      <c r="L14" s="8"/>
      <c r="M14" s="8"/>
      <c r="N14" s="8"/>
      <c r="O14" s="8"/>
      <c r="P14" s="60"/>
      <c r="R14" s="38"/>
      <c r="S14" s="8"/>
      <c r="T14" s="8"/>
      <c r="U14" s="8"/>
      <c r="V14" s="8"/>
      <c r="W14" s="8"/>
      <c r="X14" s="8"/>
      <c r="Y14" s="8"/>
      <c r="Z14" s="8"/>
      <c r="AA14" s="8"/>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customHeight="1">
      <c r="A21" s="8" t="s">
        <v>53</v>
      </c>
      <c r="B21" s="29" t="s">
        <v>54</v>
      </c>
      <c r="C21" s="8" t="s">
        <v>81</v>
      </c>
      <c r="D21" s="8" t="s">
        <v>104</v>
      </c>
      <c r="E21" s="8" t="s">
        <v>105</v>
      </c>
      <c r="F21" s="8"/>
      <c r="G21" s="8" t="s">
        <v>62</v>
      </c>
      <c r="H21" s="8" t="s">
        <v>106</v>
      </c>
      <c r="I21" s="9">
        <v>1</v>
      </c>
      <c r="J21" s="9"/>
      <c r="K21" s="11"/>
      <c r="L21" s="9"/>
      <c r="M21" s="9"/>
      <c r="N21" s="9"/>
      <c r="O21" s="9"/>
      <c r="P21" s="60"/>
      <c r="Q21" s="47"/>
      <c r="R21" s="37" t="s">
        <v>1225</v>
      </c>
      <c r="S21" s="9" t="s">
        <v>1226</v>
      </c>
      <c r="T21" s="9" t="s">
        <v>1227</v>
      </c>
      <c r="U21" s="9" t="s">
        <v>1221</v>
      </c>
      <c r="V21" s="9" t="s">
        <v>8</v>
      </c>
      <c r="W21" s="9">
        <v>2022</v>
      </c>
      <c r="X21" s="9" t="s">
        <v>9</v>
      </c>
      <c r="Y21" s="9" t="s">
        <v>1228</v>
      </c>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110.25">
      <c r="A41" s="8" t="s">
        <v>53</v>
      </c>
      <c r="B41" s="29" t="s">
        <v>54</v>
      </c>
      <c r="C41" s="8" t="s">
        <v>128</v>
      </c>
      <c r="D41" s="8" t="s">
        <v>167</v>
      </c>
      <c r="E41" s="12" t="s">
        <v>168</v>
      </c>
      <c r="F41" s="8"/>
      <c r="G41" s="8" t="s">
        <v>71</v>
      </c>
      <c r="H41" s="12" t="s">
        <v>169</v>
      </c>
      <c r="I41" s="12" t="s">
        <v>110</v>
      </c>
      <c r="J41" s="12"/>
      <c r="K41" s="13"/>
      <c r="L41" s="13"/>
      <c r="M41" s="13"/>
      <c r="N41" s="13"/>
      <c r="O41" s="13"/>
      <c r="P41" s="60"/>
      <c r="Q41" s="48"/>
      <c r="R41" s="41" t="s">
        <v>1229</v>
      </c>
      <c r="S41" s="13" t="s">
        <v>1230</v>
      </c>
      <c r="T41" s="13" t="s">
        <v>1231</v>
      </c>
      <c r="U41" s="13" t="s">
        <v>1221</v>
      </c>
      <c r="V41" s="13" t="s">
        <v>1191</v>
      </c>
      <c r="W41" s="13">
        <v>2022</v>
      </c>
      <c r="X41" s="13" t="s">
        <v>9</v>
      </c>
      <c r="Y41" s="13" t="s">
        <v>1232</v>
      </c>
      <c r="Z41" s="13"/>
      <c r="AA41" s="8" t="s">
        <v>1233</v>
      </c>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56.25"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63" hidden="1">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c r="S258" s="8"/>
      <c r="T258" s="8"/>
      <c r="U258" s="8"/>
      <c r="V258" s="8"/>
      <c r="W258" s="8"/>
      <c r="X258" s="8"/>
      <c r="Y258" s="8"/>
      <c r="Z258" s="8"/>
      <c r="AA258" s="8"/>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c r="S260" s="8"/>
      <c r="T260" s="8"/>
      <c r="U260" s="8"/>
      <c r="V260" s="8"/>
      <c r="W260" s="8"/>
      <c r="X260" s="8"/>
      <c r="Y260" s="8"/>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hidden="1">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c r="S265" s="8"/>
      <c r="T265" s="8"/>
      <c r="U265" s="8"/>
      <c r="V265" s="8"/>
      <c r="W265" s="8"/>
      <c r="X265" s="8"/>
      <c r="Y265" s="8"/>
      <c r="Z265" s="8"/>
      <c r="AA265" s="8"/>
    </row>
    <row r="266" spans="1:27" ht="31.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157.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63"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94.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189"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56.25"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56.25"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78.7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63"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31.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56.25"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56.25"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31.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56.25"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56.25"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63"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47.25"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56.25"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8389B253-064C-4F01-BA9E-D52ACA2A3C67}">
    <filterColumn colId="17">
      <customFilters>
        <customFilter operator="notEqual" val=" "/>
      </customFilters>
    </filterColumn>
  </autoFilter>
  <dataValidations count="1">
    <dataValidation type="textLength" operator="lessThan" allowBlank="1" showInputMessage="1" showErrorMessage="1" sqref="P1:P432 AA1:AA432" xr:uid="{4CAA0CA1-F9FE-428C-BB1B-CB634798B97C}">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FCBD13A9-F34B-4660-A797-5E113D6382C0}">
          <x14:formula1>
            <xm:f>'Input sheet to hide '!$B$3:$B$5</xm:f>
          </x14:formula1>
          <xm:sqref>J4:J156 V3:V432</xm:sqref>
        </x14:dataValidation>
        <x14:dataValidation type="list" allowBlank="1" showInputMessage="1" showErrorMessage="1" xr:uid="{9DBE0442-91F8-4713-BB01-29F1A30828A0}">
          <x14:formula1>
            <xm:f>'Input sheet to hide '!$C$3:$C$6</xm:f>
          </x14:formula1>
          <xm:sqref>M4:M156 X3:X432</xm:sqref>
        </x14:dataValidation>
        <x14:dataValidation type="list" allowBlank="1" showInputMessage="1" showErrorMessage="1" xr:uid="{5652ADB2-F9C0-4C52-82AD-B84FF4BDAAEB}">
          <x14:formula1>
            <xm:f>'CP Response Overview'!#REF!</xm:f>
          </x14:formula1>
          <xm:sqref>U3:U432 F432 F274:F297 F420:F421 F415:F418 F403:F413 F387:F399 F344:F385 F336:F341 F333:F334 F300:F331 F191:F235 F237:F272 F3:F189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C9B57-A046-43B6-9B39-CF9F50A92D70}">
  <sheetPr filterMode="1"/>
  <dimension ref="A1:AY597"/>
  <sheetViews>
    <sheetView zoomScale="70" zoomScaleNormal="70" workbookViewId="0">
      <selection activeCell="R258" sqref="R258"/>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8"/>
      <c r="M8" s="8"/>
      <c r="N8" s="8"/>
      <c r="O8" s="8"/>
      <c r="P8" s="60"/>
      <c r="R8" s="38"/>
      <c r="S8" s="8"/>
      <c r="T8" s="8"/>
      <c r="U8" s="8"/>
      <c r="V8" s="8"/>
      <c r="W8" s="8"/>
      <c r="X8" s="8"/>
      <c r="Y8" s="8"/>
      <c r="Z8" s="8"/>
      <c r="AA8" s="8"/>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hidden="1">
      <c r="A12" s="8" t="s">
        <v>53</v>
      </c>
      <c r="B12" s="29" t="s">
        <v>54</v>
      </c>
      <c r="C12" s="8" t="s">
        <v>81</v>
      </c>
      <c r="D12" s="8" t="s">
        <v>86</v>
      </c>
      <c r="E12" s="69" t="s">
        <v>87</v>
      </c>
      <c r="F12" s="8"/>
      <c r="G12" s="8" t="s">
        <v>62</v>
      </c>
      <c r="H12" s="8" t="s">
        <v>84</v>
      </c>
      <c r="I12" s="8" t="s">
        <v>85</v>
      </c>
      <c r="J12" s="8"/>
      <c r="K12" s="8"/>
      <c r="L12" s="8"/>
      <c r="M12" s="8"/>
      <c r="N12" s="8"/>
      <c r="O12" s="8"/>
      <c r="P12" s="60"/>
      <c r="R12" s="38"/>
      <c r="S12" s="8"/>
      <c r="T12" s="8"/>
      <c r="U12" s="8"/>
      <c r="V12" s="8"/>
      <c r="W12" s="8"/>
      <c r="X12" s="8"/>
      <c r="Y12" s="8"/>
      <c r="Z12" s="8"/>
      <c r="AA12" s="8"/>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63" hidden="1">
      <c r="A14" s="8" t="s">
        <v>53</v>
      </c>
      <c r="B14" s="29" t="s">
        <v>54</v>
      </c>
      <c r="C14" s="8" t="s">
        <v>81</v>
      </c>
      <c r="D14" s="8" t="s">
        <v>90</v>
      </c>
      <c r="E14" s="69" t="s">
        <v>91</v>
      </c>
      <c r="F14" s="8"/>
      <c r="G14" s="8" t="s">
        <v>62</v>
      </c>
      <c r="H14" s="8" t="s">
        <v>84</v>
      </c>
      <c r="I14" s="8" t="s">
        <v>85</v>
      </c>
      <c r="J14" s="8"/>
      <c r="K14" s="8"/>
      <c r="L14" s="8"/>
      <c r="M14" s="8"/>
      <c r="N14" s="8"/>
      <c r="O14" s="8"/>
      <c r="P14" s="60"/>
      <c r="R14" s="38"/>
      <c r="S14" s="8"/>
      <c r="T14" s="8"/>
      <c r="U14" s="8"/>
      <c r="V14" s="8"/>
      <c r="W14" s="8"/>
      <c r="X14" s="8"/>
      <c r="Y14" s="8"/>
      <c r="Z14" s="8"/>
      <c r="AA14" s="8"/>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hidden="1" customHeight="1">
      <c r="A21" s="8" t="s">
        <v>53</v>
      </c>
      <c r="B21" s="29" t="s">
        <v>54</v>
      </c>
      <c r="C21" s="8" t="s">
        <v>81</v>
      </c>
      <c r="D21" s="8" t="s">
        <v>104</v>
      </c>
      <c r="E21" s="8" t="s">
        <v>105</v>
      </c>
      <c r="F21" s="8"/>
      <c r="G21" s="8" t="s">
        <v>62</v>
      </c>
      <c r="H21" s="8" t="s">
        <v>106</v>
      </c>
      <c r="I21" s="9">
        <v>1</v>
      </c>
      <c r="J21" s="9"/>
      <c r="K21" s="11"/>
      <c r="L21" s="9"/>
      <c r="M21" s="9"/>
      <c r="N21" s="9"/>
      <c r="O21" s="9"/>
      <c r="P21" s="60"/>
      <c r="Q21" s="47"/>
      <c r="R21" s="37"/>
      <c r="S21" s="9"/>
      <c r="T21" s="9"/>
      <c r="U21" s="9"/>
      <c r="V21" s="9"/>
      <c r="W21" s="9"/>
      <c r="X21" s="9"/>
      <c r="Y21" s="9"/>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378">
      <c r="A234" s="8" t="s">
        <v>18</v>
      </c>
      <c r="B234" s="29" t="s">
        <v>274</v>
      </c>
      <c r="C234" s="8" t="s">
        <v>693</v>
      </c>
      <c r="D234" s="8" t="s">
        <v>698</v>
      </c>
      <c r="E234" s="8" t="s">
        <v>699</v>
      </c>
      <c r="F234" s="8"/>
      <c r="G234" s="8" t="s">
        <v>62</v>
      </c>
      <c r="H234" s="8" t="s">
        <v>700</v>
      </c>
      <c r="I234" s="8" t="s">
        <v>701</v>
      </c>
      <c r="J234" s="8"/>
      <c r="K234" s="8"/>
      <c r="L234" s="8"/>
      <c r="M234" s="8"/>
      <c r="N234" s="8"/>
      <c r="O234" s="8"/>
      <c r="P234" s="60"/>
      <c r="R234" s="38" t="s">
        <v>1234</v>
      </c>
      <c r="S234" s="8"/>
      <c r="T234" s="8" t="s">
        <v>1235</v>
      </c>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56.25"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63" hidden="1">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c r="S258" s="8"/>
      <c r="T258" s="8"/>
      <c r="U258" s="8"/>
      <c r="V258" s="8"/>
      <c r="W258" s="8"/>
      <c r="X258" s="8"/>
      <c r="Y258" s="8"/>
      <c r="Z258" s="8"/>
      <c r="AA258" s="8"/>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c r="S260" s="8"/>
      <c r="T260" s="8"/>
      <c r="U260" s="8"/>
      <c r="V260" s="8"/>
      <c r="W260" s="8"/>
      <c r="X260" s="8"/>
      <c r="Y260" s="8"/>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hidden="1">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c r="S265" s="8"/>
      <c r="T265" s="8"/>
      <c r="U265" s="8"/>
      <c r="V265" s="8"/>
      <c r="W265" s="8"/>
      <c r="X265" s="8"/>
      <c r="Y265" s="8"/>
      <c r="Z265" s="8"/>
      <c r="AA265" s="8"/>
    </row>
    <row r="266" spans="1:27" ht="31.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157.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63"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94.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189"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56.25"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56.25"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78.7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299.25">
      <c r="A318" s="8" t="s">
        <v>20</v>
      </c>
      <c r="B318" s="29" t="s">
        <v>587</v>
      </c>
      <c r="C318" s="8" t="s">
        <v>908</v>
      </c>
      <c r="D318" s="8" t="s">
        <v>914</v>
      </c>
      <c r="E318" s="8" t="s">
        <v>915</v>
      </c>
      <c r="F318" s="8"/>
      <c r="G318" s="8" t="s">
        <v>62</v>
      </c>
      <c r="H318" s="8" t="s">
        <v>916</v>
      </c>
      <c r="I318" s="9">
        <v>0.5</v>
      </c>
      <c r="J318" s="8"/>
      <c r="K318" s="8"/>
      <c r="L318" s="8"/>
      <c r="M318" s="8"/>
      <c r="N318" s="8"/>
      <c r="O318" s="8"/>
      <c r="P318" s="60"/>
      <c r="R318" s="38" t="s">
        <v>1236</v>
      </c>
      <c r="S318" s="38" t="s">
        <v>1236</v>
      </c>
      <c r="T318" s="8" t="s">
        <v>1237</v>
      </c>
      <c r="U318" s="8"/>
      <c r="V318" s="8" t="s">
        <v>1191</v>
      </c>
      <c r="W318" s="8"/>
      <c r="X318" s="8"/>
      <c r="Y318" s="8" t="s">
        <v>1238</v>
      </c>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31.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56.25"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56.25"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31.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56.25"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56.25"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63"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47.25"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56.25"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70DC9B57-A046-43B6-9B39-CF9F50A92D70}">
    <filterColumn colId="17">
      <customFilters>
        <customFilter operator="notEqual" val=" "/>
      </customFilters>
    </filterColumn>
  </autoFilter>
  <dataValidations count="1">
    <dataValidation type="textLength" operator="lessThan" allowBlank="1" showInputMessage="1" showErrorMessage="1" sqref="P1:P432 AA1:AA432" xr:uid="{C65ADFEA-8C77-434D-A496-F8BC259C3B9B}">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3A329177-1C03-48E5-8D8C-989E8C0B20E6}">
          <x14:formula1>
            <xm:f>'Input sheet to hide '!$C$3:$C$6</xm:f>
          </x14:formula1>
          <xm:sqref>M4:M156 X3:X432</xm:sqref>
        </x14:dataValidation>
        <x14:dataValidation type="list" allowBlank="1" showInputMessage="1" showErrorMessage="1" xr:uid="{C337DCD9-7196-4D1A-AB51-D41A6B1EE188}">
          <x14:formula1>
            <xm:f>'Input sheet to hide '!$B$3:$B$5</xm:f>
          </x14:formula1>
          <xm:sqref>J4:J156 V3:V432</xm:sqref>
        </x14:dataValidation>
        <x14:dataValidation type="list" allowBlank="1" showInputMessage="1" showErrorMessage="1" xr:uid="{0252433F-0700-480D-8731-791F066E7D61}">
          <x14:formula1>
            <xm:f>'CP Response Overview'!#REF!</xm:f>
          </x14:formula1>
          <xm:sqref>F432 F274:F297 F420:F421 F415:F418 F403:F413 F387:F399 F344:F385 F336:F341 F333:F334 F300:F331 F191:F235 F237:F272 F3:F189 U3:U432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E57BC-6DBD-4A53-9814-2439385A6FC0}">
  <sheetPr filterMode="1"/>
  <dimension ref="A1:AY597"/>
  <sheetViews>
    <sheetView zoomScale="70" zoomScaleNormal="70" workbookViewId="0">
      <selection activeCell="R274" sqref="R274"/>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8"/>
      <c r="M8" s="8"/>
      <c r="N8" s="8"/>
      <c r="O8" s="8"/>
      <c r="P8" s="60"/>
      <c r="R8" s="38"/>
      <c r="S8" s="8"/>
      <c r="T8" s="8"/>
      <c r="U8" s="8"/>
      <c r="V8" s="8"/>
      <c r="W8" s="8"/>
      <c r="X8" s="8"/>
      <c r="Y8" s="8"/>
      <c r="Z8" s="8"/>
      <c r="AA8" s="8"/>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hidden="1">
      <c r="A12" s="8" t="s">
        <v>53</v>
      </c>
      <c r="B12" s="29" t="s">
        <v>54</v>
      </c>
      <c r="C12" s="8" t="s">
        <v>81</v>
      </c>
      <c r="D12" s="8" t="s">
        <v>86</v>
      </c>
      <c r="E12" s="69" t="s">
        <v>87</v>
      </c>
      <c r="F12" s="8"/>
      <c r="G12" s="8" t="s">
        <v>62</v>
      </c>
      <c r="H12" s="8" t="s">
        <v>84</v>
      </c>
      <c r="I12" s="8" t="s">
        <v>85</v>
      </c>
      <c r="J12" s="8"/>
      <c r="K12" s="8"/>
      <c r="L12" s="8"/>
      <c r="M12" s="8"/>
      <c r="N12" s="8"/>
      <c r="O12" s="8"/>
      <c r="P12" s="60"/>
      <c r="R12" s="38"/>
      <c r="S12" s="8"/>
      <c r="T12" s="8"/>
      <c r="U12" s="8"/>
      <c r="V12" s="8"/>
      <c r="W12" s="8"/>
      <c r="X12" s="8"/>
      <c r="Y12" s="8"/>
      <c r="Z12" s="8"/>
      <c r="AA12" s="8"/>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63" hidden="1">
      <c r="A14" s="8" t="s">
        <v>53</v>
      </c>
      <c r="B14" s="29" t="s">
        <v>54</v>
      </c>
      <c r="C14" s="8" t="s">
        <v>81</v>
      </c>
      <c r="D14" s="8" t="s">
        <v>90</v>
      </c>
      <c r="E14" s="69" t="s">
        <v>91</v>
      </c>
      <c r="F14" s="8"/>
      <c r="G14" s="8" t="s">
        <v>62</v>
      </c>
      <c r="H14" s="8" t="s">
        <v>84</v>
      </c>
      <c r="I14" s="8" t="s">
        <v>85</v>
      </c>
      <c r="J14" s="8"/>
      <c r="K14" s="8"/>
      <c r="L14" s="8"/>
      <c r="M14" s="8"/>
      <c r="N14" s="8"/>
      <c r="O14" s="8"/>
      <c r="P14" s="60"/>
      <c r="R14" s="38"/>
      <c r="S14" s="8"/>
      <c r="T14" s="8"/>
      <c r="U14" s="8"/>
      <c r="V14" s="8"/>
      <c r="W14" s="8"/>
      <c r="X14" s="8"/>
      <c r="Y14" s="8"/>
      <c r="Z14" s="8"/>
      <c r="AA14" s="8"/>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hidden="1" customHeight="1">
      <c r="A21" s="8" t="s">
        <v>53</v>
      </c>
      <c r="B21" s="29" t="s">
        <v>54</v>
      </c>
      <c r="C21" s="8" t="s">
        <v>81</v>
      </c>
      <c r="D21" s="8" t="s">
        <v>104</v>
      </c>
      <c r="E21" s="8" t="s">
        <v>105</v>
      </c>
      <c r="F21" s="8"/>
      <c r="G21" s="8" t="s">
        <v>62</v>
      </c>
      <c r="H21" s="8" t="s">
        <v>106</v>
      </c>
      <c r="I21" s="9">
        <v>1</v>
      </c>
      <c r="J21" s="9"/>
      <c r="K21" s="11"/>
      <c r="L21" s="9"/>
      <c r="M21" s="9"/>
      <c r="N21" s="9"/>
      <c r="O21" s="9"/>
      <c r="P21" s="60"/>
      <c r="Q21" s="47"/>
      <c r="R21" s="37"/>
      <c r="S21" s="9"/>
      <c r="T21" s="9"/>
      <c r="U21" s="9"/>
      <c r="V21" s="9"/>
      <c r="W21" s="9"/>
      <c r="X21" s="9"/>
      <c r="Y21" s="9"/>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409.5">
      <c r="A216" s="8" t="s">
        <v>18</v>
      </c>
      <c r="B216" s="29" t="s">
        <v>54</v>
      </c>
      <c r="C216" s="8" t="s">
        <v>643</v>
      </c>
      <c r="D216" s="8" t="s">
        <v>644</v>
      </c>
      <c r="E216" s="8" t="s">
        <v>645</v>
      </c>
      <c r="F216" s="8"/>
      <c r="G216" s="8" t="s">
        <v>62</v>
      </c>
      <c r="H216" s="8" t="s">
        <v>646</v>
      </c>
      <c r="I216" s="8" t="s">
        <v>85</v>
      </c>
      <c r="J216" s="8"/>
      <c r="K216" s="8"/>
      <c r="L216" s="8"/>
      <c r="M216" s="8"/>
      <c r="N216" s="8"/>
      <c r="O216" s="8"/>
      <c r="P216" s="60"/>
      <c r="R216" s="38" t="s">
        <v>1241</v>
      </c>
      <c r="S216" s="8"/>
      <c r="T216" s="8" t="s">
        <v>1242</v>
      </c>
      <c r="U216" s="8"/>
      <c r="V216" s="8" t="s">
        <v>1191</v>
      </c>
      <c r="W216" s="8">
        <v>2022</v>
      </c>
      <c r="X216" s="8" t="s">
        <v>10</v>
      </c>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56.25"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63" hidden="1">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c r="S258" s="8"/>
      <c r="T258" s="8"/>
      <c r="U258" s="8"/>
      <c r="V258" s="8"/>
      <c r="W258" s="8"/>
      <c r="X258" s="8"/>
      <c r="Y258" s="8"/>
      <c r="Z258" s="8"/>
      <c r="AA258" s="8"/>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c r="S260" s="8"/>
      <c r="T260" s="8"/>
      <c r="U260" s="8"/>
      <c r="V260" s="8"/>
      <c r="W260" s="8"/>
      <c r="X260" s="8"/>
      <c r="Y260" s="8"/>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hidden="1">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c r="S265" s="8"/>
      <c r="T265" s="8"/>
      <c r="U265" s="8"/>
      <c r="V265" s="8"/>
      <c r="W265" s="8"/>
      <c r="X265" s="8"/>
      <c r="Y265" s="8"/>
      <c r="Z265" s="8"/>
      <c r="AA265" s="8"/>
    </row>
    <row r="266" spans="1:27" ht="31.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409.5">
      <c r="A267" s="8" t="s">
        <v>20</v>
      </c>
      <c r="B267" s="31" t="s">
        <v>54</v>
      </c>
      <c r="C267" s="8" t="s">
        <v>774</v>
      </c>
      <c r="D267" s="8" t="s">
        <v>775</v>
      </c>
      <c r="E267" s="8" t="s">
        <v>776</v>
      </c>
      <c r="F267" s="8"/>
      <c r="G267" s="8" t="s">
        <v>62</v>
      </c>
      <c r="H267" s="8" t="s">
        <v>777</v>
      </c>
      <c r="I267" s="8" t="s">
        <v>494</v>
      </c>
      <c r="J267" s="8"/>
      <c r="K267" s="8"/>
      <c r="L267" s="8"/>
      <c r="M267" s="8"/>
      <c r="N267" s="8"/>
      <c r="O267" s="8"/>
      <c r="P267" s="60"/>
      <c r="R267" s="8" t="s">
        <v>1239</v>
      </c>
      <c r="S267" s="8"/>
      <c r="T267" s="8" t="s">
        <v>1240</v>
      </c>
      <c r="U267" s="8"/>
      <c r="V267" s="8" t="s">
        <v>1191</v>
      </c>
      <c r="W267" s="8">
        <v>2022</v>
      </c>
      <c r="X267" s="8" t="s">
        <v>10</v>
      </c>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78.75"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110.2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110.2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78.75"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110.2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204.75"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78.75"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94.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63"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63"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63"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94.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78.75"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47.2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94.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63"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63"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110.2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47.2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78.75"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63"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78.75"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8F0E57BC-6DBD-4A53-9814-2439385A6FC0}">
    <filterColumn colId="17">
      <customFilters>
        <customFilter operator="notEqual" val=" "/>
      </customFilters>
    </filterColumn>
  </autoFilter>
  <dataValidations count="1">
    <dataValidation type="textLength" operator="lessThan" allowBlank="1" showInputMessage="1" showErrorMessage="1" sqref="P1:P432 AA1:AA432" xr:uid="{9C3B9DE4-CF98-4735-B921-B6FC42B034A1}">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05962C8F-E82C-4457-9E1D-B51DC3E102C4}">
          <x14:formula1>
            <xm:f>'Input sheet to hide '!$B$3:$B$5</xm:f>
          </x14:formula1>
          <xm:sqref>J4:J156 V3:V432</xm:sqref>
        </x14:dataValidation>
        <x14:dataValidation type="list" allowBlank="1" showInputMessage="1" showErrorMessage="1" xr:uid="{8DC9DE87-066C-4F2A-B74A-DFF283AE07DE}">
          <x14:formula1>
            <xm:f>'Input sheet to hide '!$C$3:$C$6</xm:f>
          </x14:formula1>
          <xm:sqref>M4:M156 X3:X432</xm:sqref>
        </x14:dataValidation>
        <x14:dataValidation type="list" allowBlank="1" showInputMessage="1" showErrorMessage="1" xr:uid="{07B0A5A2-1351-4FA8-9E6A-9E1A70D582D4}">
          <x14:formula1>
            <xm:f>'CP Response Overview'!#REF!</xm:f>
          </x14:formula1>
          <xm:sqref>U3:U432 F432 F274:F297 F420:F421 F415:F418 F403:F413 F387:F399 F344:F385 F336:F341 F333:F334 F300:F331 F191:F235 F237:F272 F3:F189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FB4B45326BAE34F916B21A6D4C5AF09" ma:contentTypeVersion="12" ma:contentTypeDescription="Create a new document." ma:contentTypeScope="" ma:versionID="09678fafdb6b41af6c8b23dde4a6311d">
  <xsd:schema xmlns:xsd="http://www.w3.org/2001/XMLSchema" xmlns:xs="http://www.w3.org/2001/XMLSchema" xmlns:p="http://schemas.microsoft.com/office/2006/metadata/properties" xmlns:ns2="e8b55f82-ad9a-4845-b2de-bf1f662e46a1" xmlns:ns3="4038a2d6-96cc-4530-b69f-263521cc0679" targetNamespace="http://schemas.microsoft.com/office/2006/metadata/properties" ma:root="true" ma:fieldsID="92b6d8e087b1e4ea616c00569f60b9ec" ns2:_="" ns3:_="">
    <xsd:import namespace="e8b55f82-ad9a-4845-b2de-bf1f662e46a1"/>
    <xsd:import namespace="4038a2d6-96cc-4530-b69f-263521cc067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b55f82-ad9a-4845-b2de-bf1f662e46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038a2d6-96cc-4530-b69f-263521cc067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A839760-2B59-461D-8095-1712D375A7CE}">
  <ds:schemaRefs>
    <ds:schemaRef ds:uri="http://schemas.microsoft.com/sharepoint/v3/contenttype/forms"/>
  </ds:schemaRefs>
</ds:datastoreItem>
</file>

<file path=customXml/itemProps2.xml><?xml version="1.0" encoding="utf-8"?>
<ds:datastoreItem xmlns:ds="http://schemas.openxmlformats.org/officeDocument/2006/customXml" ds:itemID="{D87A5D7C-74B7-467B-8196-98F47C5B84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b55f82-ad9a-4845-b2de-bf1f662e46a1"/>
    <ds:schemaRef ds:uri="4038a2d6-96cc-4530-b69f-263521cc06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D8BA5D-6E61-44D0-A180-B971BDCB4B63}">
  <ds:schemaRefs>
    <ds:schemaRef ds:uri="http://schemas.microsoft.com/office/2006/documentManagement/types"/>
    <ds:schemaRef ds:uri="4038a2d6-96cc-4530-b69f-263521cc0679"/>
    <ds:schemaRef ds:uri="http://schemas.microsoft.com/office/infopath/2007/PartnerControls"/>
    <ds:schemaRef ds:uri="http://purl.org/dc/dcmitype/"/>
    <ds:schemaRef ds:uri="http://purl.org/dc/elements/1.1/"/>
    <ds:schemaRef ds:uri="http://purl.org/dc/terms/"/>
    <ds:schemaRef ds:uri="http://www.w3.org/XML/1998/namespace"/>
    <ds:schemaRef ds:uri="http://schemas.openxmlformats.org/package/2006/metadata/core-properties"/>
    <ds:schemaRef ds:uri="e8b55f82-ad9a-4845-b2de-bf1f662e46a1"/>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All Overview</vt:lpstr>
      <vt:lpstr>Graphs</vt:lpstr>
      <vt:lpstr>CP Response Overview</vt:lpstr>
      <vt:lpstr>Stakeholder Response Overview</vt:lpstr>
      <vt:lpstr>first</vt:lpstr>
      <vt:lpstr>1 UfM</vt:lpstr>
      <vt:lpstr>2 OSRL</vt:lpstr>
      <vt:lpstr>3 Federchimica</vt:lpstr>
      <vt:lpstr>4 IOI</vt:lpstr>
      <vt:lpstr>5 CEDRE</vt:lpstr>
      <vt:lpstr>6 PAM</vt:lpstr>
      <vt:lpstr>7 CLIA</vt:lpstr>
      <vt:lpstr>8 IPIECA</vt:lpstr>
      <vt:lpstr>9 Med Cruise</vt:lpstr>
      <vt:lpstr>10 REMPEC</vt:lpstr>
      <vt:lpstr>11 EMSA</vt:lpstr>
      <vt:lpstr>12 West Med</vt:lpstr>
      <vt:lpstr>13 OC</vt:lpstr>
      <vt:lpstr>14 Sea Alarm</vt:lpstr>
      <vt:lpstr>15 ITOPF</vt:lpstr>
      <vt:lpstr>Last</vt:lpstr>
      <vt:lpstr>ALBANIA</vt:lpstr>
      <vt:lpstr>BandH</vt:lpstr>
      <vt:lpstr>ISRAEL</vt:lpstr>
      <vt:lpstr>MONTENEGRO</vt:lpstr>
      <vt:lpstr>TUNISIA</vt:lpstr>
      <vt:lpstr>Türkiye</vt:lpstr>
      <vt:lpstr>end</vt:lpstr>
      <vt:lpstr>Input sheet to hide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Gabino Gonzalez</dc:creator>
  <cp:keywords/>
  <dc:description/>
  <cp:lastModifiedBy>Gabino Gonzalez</cp:lastModifiedBy>
  <cp:revision/>
  <dcterms:created xsi:type="dcterms:W3CDTF">2021-10-26T11:19:16Z</dcterms:created>
  <dcterms:modified xsi:type="dcterms:W3CDTF">2022-10-12T09:32:04Z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0x0101009FB4B45326BAE34F916B21A6D4C5AF09</vt:lpwstr>
  </property>
</Properties>
</file>